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comments/comment1.xml" ContentType="application/vnd.openxmlformats-officedocument.spreadsheetml.comments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ables/table1.xml" ContentType="application/vnd.openxmlformats-officedocument.spreadsheetml.table+xml"/>
  <Override PartName="/xl/worksheets/sheet10.xml" ContentType="application/vnd.openxmlformats-officedocument.spreadsheetml.worksheet+xml"/>
  <Override PartName="/xl/tables/table2.xml" ContentType="application/vnd.openxmlformats-officedocument.spreadsheetml.table+xml"/>
  <Override PartName="/xl/worksheets/sheet11.xml" ContentType="application/vnd.openxmlformats-officedocument.spreadsheetml.worksheet+xml"/>
  <Override PartName="/xl/tables/table3.xml" ContentType="application/vnd.openxmlformats-officedocument.spreadsheetml.table+xml"/>
  <Override PartName="/xl/worksheets/sheet12.xml" ContentType="application/vnd.openxmlformats-officedocument.spreadsheetml.worksheet+xml"/>
  <Override PartName="/xl/tables/table4.xml" ContentType="application/vnd.openxmlformats-officedocument.spreadsheetml.table+xml"/>
  <Override PartName="/xl/worksheets/sheet13.xml" ContentType="application/vnd.openxmlformats-officedocument.spreadsheetml.worksheet+xml"/>
  <Override PartName="/xl/tables/table5.xml" ContentType="application/vnd.openxmlformats-officedocument.spreadsheetml.table+xml"/>
  <Override PartName="/xl/worksheets/sheet14.xml" ContentType="application/vnd.openxmlformats-officedocument.spreadsheetml.worksheet+xml"/>
  <Override PartName="/xl/tables/table6.xml" ContentType="application/vnd.openxmlformats-officedocument.spreadsheetml.table+xml"/>
  <Override PartName="/xl/worksheets/sheet15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cueil" sheetId="1" state="visible" r:id="rId1"/>
    <sheet xmlns:r="http://schemas.openxmlformats.org/officeDocument/2006/relationships" name="Tableau de bord" sheetId="2" state="visible" r:id="rId2"/>
    <sheet xmlns:r="http://schemas.openxmlformats.org/officeDocument/2006/relationships" name="Carte provinces" sheetId="3" state="visible" r:id="rId3"/>
    <sheet xmlns:r="http://schemas.openxmlformats.org/officeDocument/2006/relationships" name="Carte villes" sheetId="4" state="visible" r:id="rId4"/>
    <sheet xmlns:r="http://schemas.openxmlformats.org/officeDocument/2006/relationships" name="Scénarios" sheetId="5" state="visible" r:id="rId5"/>
    <sheet xmlns:r="http://schemas.openxmlformats.org/officeDocument/2006/relationships" name="Simulateur" sheetId="6" state="visible" r:id="rId6"/>
    <sheet xmlns:r="http://schemas.openxmlformats.org/officeDocument/2006/relationships" name="Excel 365" sheetId="7" state="visible" r:id="rId7"/>
    <sheet xmlns:r="http://schemas.openxmlformats.org/officeDocument/2006/relationships" name="Mode d'emploi" sheetId="8" state="visible" r:id="rId8"/>
    <sheet xmlns:r="http://schemas.openxmlformats.org/officeDocument/2006/relationships" name="Loyers Montréal" sheetId="9" state="visible" r:id="rId9"/>
    <sheet xmlns:r="http://schemas.openxmlformats.org/officeDocument/2006/relationships" name="Grandes villes" sheetId="10" state="visible" r:id="rId10"/>
    <sheet xmlns:r="http://schemas.openxmlformats.org/officeDocument/2006/relationships" name="IPC Montréal" sheetId="11" state="visible" r:id="rId11"/>
    <sheet xmlns:r="http://schemas.openxmlformats.org/officeDocument/2006/relationships" name="IPC provinces" sheetId="12" state="visible" r:id="rId12"/>
    <sheet xmlns:r="http://schemas.openxmlformats.org/officeDocument/2006/relationships" name="Loyers trimestriels" sheetId="13" state="visible" r:id="rId13"/>
    <sheet xmlns:r="http://schemas.openxmlformats.org/officeDocument/2006/relationships" name="SCHL" sheetId="14" state="visible" r:id="rId14"/>
    <sheet xmlns:r="http://schemas.openxmlformats.org/officeDocument/2006/relationships" name="Calculs" sheetId="15" state="hidden" r:id="rId15"/>
  </sheets>
  <definedNames>
    <definedName name="Loyers_Annee">'Loyers Montréal'!$B$6:$B$141</definedName>
    <definedName name="Loyers_Type">'Loyers Montréal'!$C$6:$C$141</definedName>
    <definedName name="Loyers_Montant">'Loyers Montréal'!$D$6:$D$141</definedName>
    <definedName name="Villes_Annees">'Grandes villes'!$B$6:$B$39</definedName>
    <definedName name="Villes_Loyers">'Grandes villes'!$C$6:$H$39</definedName>
    <definedName name="Villes_Noms">'Grandes villes'!$C$5:$H$5</definedName>
    <definedName name="IPC_Annee">'IPC Montréal'!$B$6:$B$39</definedName>
    <definedName name="IPC_Valeur">'IPC Montréal'!$C$6:$C$39</definedName>
    <definedName name="IPCP_Annee">'IPC provinces'!$B$6:$B$82</definedName>
    <definedName name="IPCP_Code">'IPC provinces'!$C$6:$C$82</definedName>
    <definedName name="IPCP_Loyer">'IPC provinces'!$E$6:$E$82</definedName>
    <definedName name="IPCP_Ens">'IPC provinces'!$F$6:$F$82</definedName>
    <definedName name="T_Periode">'Loyers trimestriels'!$B$6:$B$133</definedName>
    <definedName name="T_ID">'Loyers trimestriels'!$C$6:$C$133</definedName>
    <definedName name="T_Est">'Loyers trimestriels'!$E$6:$E$133</definedName>
    <definedName name="T_Loyer">'Loyers trimestriels'!$F$6:$F$133</definedName>
    <definedName name="SCHL_Annee">'SCHL'!$B$6:$B$15</definedName>
    <definedName name="SCHL_Indic">'SCHL'!$C$6:$C$15</definedName>
    <definedName name="SCHL_Valeur">'SCHL'!$D$6:$D$15</definedName>
    <definedName name="ListeIndProv">Calculs!$A$76:$A$78</definedName>
    <definedName name="ListeIndVille">Calculs!$C$76:$C$78</definedName>
    <definedName name="V_AB">Calculs!$M$82</definedName>
    <definedName name="V_BC">Calculs!$M$83</definedName>
    <definedName name="V_MB">Calculs!$M$84</definedName>
    <definedName name="V_NB">Calculs!$M$85</definedName>
    <definedName name="V_NS">Calculs!$M$86</definedName>
    <definedName name="V_ON">Calculs!$M$87</definedName>
    <definedName name="V_QC">Calculs!$M$88</definedName>
    <definedName name="V_SK">Calculs!$M$89</definedName>
    <definedName name="V_NL">Calculs!$M$90</definedName>
    <definedName name="V_PE">Calculs!$M$91</definedName>
    <definedName name="V_CA">Calculs!$M$92</definedName>
    <definedName name="ProvNoms">Calculs!$B$82:$B$91</definedName>
    <definedName name="ProvCodes">Calculs!$A$82:$A$91</definedName>
    <definedName name="ProvValeurs">Calculs!$M$82:$M$91</definedName>
    <definedName name="ProvRangs">Calculs!$O$82:$O$91</definedName>
    <definedName name="QC_Hausse_2025">Calculs!$AC$88</definedName>
    <definedName name="QC_Rang_2025">Calculs!$AD$88</definedName>
    <definedName name="Seuils_Prov">Calculs!$B$94:$B$98</definedName>
    <definedName name="ProvSelCode">Calculs!$F$94</definedName>
    <definedName name="V_Noms">Calculs!$B$112:$B$127</definedName>
    <definedName name="V_Valeurs">Calculs!$K$112:$K$127</definedName>
    <definedName name="V_Rangs">Calculs!$N$112:$N$127</definedName>
    <definedName name="Seuils_Ville">Calculs!$B$130:$B$134</definedName>
    <definedName name="VilleSelRow">Calculs!$F$130</definedName>
    <definedName name="VilleSelID">Calculs!$F$131</definedName>
    <definedName name="VillePct">Calculs!$H$130</definedName>
    <definedName name="Debut">'Tableau de bord'!$D$5</definedName>
    <definedName name="Fin">'Tableau de bord'!$H$5</definedName>
    <definedName name="TypeLog">'Tableau de bord'!$L$5</definedName>
    <definedName name="IndCarte">'Carte provinces'!$D$5</definedName>
    <definedName name="AnneeCarte">'Carte provinces'!$D$6</definedName>
    <definedName name="ProvSel">'Carte provinces'!$I$5</definedName>
    <definedName name="IndVilles">'Carte villes'!$D$5</definedName>
    <definedName name="VilleSel">'Carte villes'!$D$6</definedName>
    <definedName name="Scen_Base">'Scénarios'!$E$6</definedName>
    <definedName name="Scen_Taux">'Scénarios'!$G$11:$G$13</definedName>
    <definedName name="_xlnm.Print_Area" localSheetId="0">'Accueil'!$A$1:$N$36</definedName>
    <definedName name="_xlnm.Print_Area" localSheetId="1">'Tableau de bord'!$A$1:$N$50</definedName>
    <definedName name="_xlnm.Print_Area" localSheetId="2">'Carte provinces'!$A$1:$P$52</definedName>
    <definedName name="_xlnm.Print_Area" localSheetId="3">'Carte villes'!$A$1:$P$59</definedName>
    <definedName name="_xlnm.Print_Area" localSheetId="4">'Scénarios'!$A$1:$U$34</definedName>
    <definedName name="_xlnm.Print_Area" localSheetId="5">'Simulateur'!$A$1:$I$25</definedName>
    <definedName name="_xlnm.Print_Area" localSheetId="6">'Excel 365'!$A$1:$L$41</definedName>
    <definedName name="_xlnm.Print_Area" localSheetId="7">'Mode d''emploi'!$A$1:$K$37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#,##0 &quot;$&quot;"/>
    <numFmt numFmtId="165" formatCode="0.0"/>
    <numFmt numFmtId="166" formatCode="0.0%"/>
    <numFmt numFmtId="167" formatCode="+0.0%;-0.0%;0.0%"/>
    <numFmt numFmtId="168" formatCode="+#,##0 &quot;$&quot;;-#,##0 &quot;$&quot;;0 &quot;$&quot;"/>
    <numFmt numFmtId="169" formatCode="+0.0&quot; pts&quot;;-0.0&quot; pts&quot;;0.0&quot; pts&quot;"/>
  </numFmts>
  <fonts count="35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DCEBFA"/>
      <sz val="9"/>
    </font>
    <font>
      <name val="Arial"/>
      <b val="1"/>
      <color rgb="00FFFFFF"/>
      <sz val="9"/>
      <u val="single"/>
    </font>
    <font>
      <name val="Arial"/>
      <b val="1"/>
      <color rgb="001F5FA8"/>
      <sz val="9"/>
    </font>
    <font>
      <name val="Arial"/>
      <color rgb="000000FF"/>
      <sz val="10"/>
    </font>
    <font>
      <name val="Arial"/>
      <b val="1"/>
      <color rgb="0013233A"/>
      <sz val="9"/>
    </font>
    <font>
      <name val="Arial"/>
      <b val="1"/>
      <color rgb="0044546A"/>
      <sz val="10"/>
    </font>
    <font>
      <name val="Arial"/>
      <b val="1"/>
      <color rgb="000000FF"/>
      <sz val="10"/>
    </font>
    <font>
      <name val="Arial"/>
      <b val="1"/>
      <color rgb="00B42323"/>
      <sz val="9"/>
    </font>
    <font>
      <name val="Arial"/>
      <b val="1"/>
      <color rgb="005B6B82"/>
      <sz val="8"/>
    </font>
    <font>
      <name val="Arial"/>
      <b val="1"/>
      <color rgb="001F5FA8"/>
      <sz val="24"/>
    </font>
    <font>
      <name val="Arial"/>
      <color rgb="0044546A"/>
      <sz val="9"/>
    </font>
    <font>
      <name val="Arial"/>
      <b val="1"/>
      <color rgb="00B8285E"/>
      <sz val="24"/>
    </font>
    <font>
      <name val="Arial"/>
      <b val="1"/>
      <color rgb="0044546A"/>
      <sz val="9"/>
    </font>
    <font>
      <name val="Arial"/>
      <i val="1"/>
      <color rgb="005B6B82"/>
      <sz val="9"/>
    </font>
    <font>
      <name val="Arial"/>
      <color rgb="0013233A"/>
      <sz val="10"/>
    </font>
    <font>
      <name val="Arial"/>
      <b val="1"/>
      <color rgb="00B8285E"/>
      <sz val="8"/>
    </font>
    <font>
      <name val="Arial"/>
      <b val="1"/>
      <color rgb="0013233A"/>
      <sz val="14"/>
    </font>
    <font>
      <name val="Arial"/>
      <color rgb="0044546A"/>
      <sz val="10"/>
    </font>
    <font>
      <name val="Arial"/>
      <b val="1"/>
      <color rgb="0013233A"/>
      <sz val="11"/>
    </font>
    <font>
      <name val="Arial"/>
      <i val="1"/>
      <color rgb="005B6B82"/>
      <sz val="8"/>
    </font>
    <font>
      <name val="Arial"/>
      <color rgb="005B6B82"/>
      <sz val="9"/>
    </font>
    <font>
      <name val="Arial"/>
      <b val="1"/>
      <color rgb="00008000"/>
      <sz val="11"/>
    </font>
    <font>
      <name val="Arial"/>
      <b val="1"/>
      <color rgb="0013233A"/>
      <sz val="10"/>
    </font>
    <font>
      <name val="Arial"/>
      <b val="1"/>
      <color rgb="00B8285E"/>
      <sz val="16"/>
    </font>
    <font>
      <name val="Arial"/>
      <b val="1"/>
      <color rgb="001F5FA8"/>
      <sz val="16"/>
    </font>
    <font>
      <name val="Arial"/>
      <b val="1"/>
      <color rgb="001A6B3C"/>
      <sz val="9"/>
    </font>
    <font>
      <name val="Arial"/>
      <b val="1"/>
      <color rgb="00B8285E"/>
      <sz val="9"/>
    </font>
    <font>
      <name val="Arial"/>
      <b val="1"/>
      <color rgb="007B6CD9"/>
      <sz val="9"/>
    </font>
    <font>
      <name val="Arial"/>
      <b val="1"/>
      <color rgb="00FFFFFF"/>
      <sz val="20"/>
    </font>
    <font>
      <name val="Arial"/>
      <b val="1"/>
      <color rgb="00B8285E"/>
      <sz val="26"/>
    </font>
    <font>
      <name val="Arial"/>
      <b val="1"/>
      <color rgb="001F5FA8"/>
      <sz val="26"/>
    </font>
    <font>
      <name val="Arial"/>
      <b val="1"/>
      <color rgb="0013233A"/>
      <sz val="12"/>
    </font>
    <font>
      <name val="Arial"/>
      <b val="1"/>
      <color rgb="00FFFFFF"/>
      <sz val="11"/>
    </font>
  </fonts>
  <fills count="13">
    <fill>
      <patternFill/>
    </fill>
    <fill>
      <patternFill patternType="gray125"/>
    </fill>
    <fill>
      <patternFill patternType="solid">
        <fgColor rgb="001F5FA8"/>
      </patternFill>
    </fill>
    <fill>
      <patternFill patternType="solid">
        <fgColor rgb="00E0457B"/>
      </patternFill>
    </fill>
    <fill>
      <patternFill patternType="solid">
        <fgColor rgb="00F2876B"/>
      </patternFill>
    </fill>
    <fill>
      <patternFill patternType="solid">
        <fgColor rgb="00E8F2FC"/>
      </patternFill>
    </fill>
    <fill>
      <patternFill patternType="solid">
        <fgColor rgb="00F4F7FB"/>
      </patternFill>
    </fill>
    <fill>
      <patternFill patternType="solid">
        <fgColor rgb="00FFF6C2"/>
      </patternFill>
    </fill>
    <fill>
      <patternFill patternType="solid">
        <fgColor rgb="00FFFFFF"/>
      </patternFill>
    </fill>
    <fill>
      <patternFill patternType="solid">
        <fgColor rgb="00CFE6FA"/>
      </patternFill>
    </fill>
    <fill>
      <patternFill patternType="solid">
        <fgColor rgb="009CCBF2"/>
      </patternFill>
    </fill>
    <fill>
      <patternFill patternType="solid">
        <fgColor rgb="005FA8E6"/>
      </patternFill>
    </fill>
    <fill>
      <patternFill patternType="solid">
        <fgColor rgb="002F86D6"/>
      </patternFill>
    </fill>
  </fills>
  <borders count="43">
    <border>
      <left/>
      <right/>
      <top/>
      <bottom/>
      <diagonal/>
    </border>
    <border>
      <left style="thin">
        <color rgb="00D5DFEA"/>
      </left>
      <right style="thin">
        <color rgb="00D5DFEA"/>
      </right>
      <top style="thin">
        <color rgb="00D5DFEA"/>
      </top>
      <bottom style="thin">
        <color rgb="00D5DFEA"/>
      </bottom>
    </border>
    <border>
      <left style="thin">
        <color rgb="00D5DFEA"/>
      </left>
      <top style="thick">
        <color rgb="002F86D6"/>
      </top>
    </border>
    <border>
      <top style="thick">
        <color rgb="002F86D6"/>
      </top>
    </border>
    <border>
      <right style="thin">
        <color rgb="00D5DFEA"/>
      </right>
      <top style="thick">
        <color rgb="002F86D6"/>
      </top>
    </border>
    <border>
      <left style="thin">
        <color rgb="00D5DFEA"/>
      </left>
    </border>
    <border/>
    <border>
      <right style="thin">
        <color rgb="00D5DFEA"/>
      </right>
    </border>
    <border>
      <left style="thin">
        <color rgb="00D5DFEA"/>
      </left>
      <bottom style="thin">
        <color rgb="00D5DFEA"/>
      </bottom>
    </border>
    <border>
      <bottom style="thin">
        <color rgb="00D5DFEA"/>
      </bottom>
    </border>
    <border>
      <right style="thin">
        <color rgb="00D5DFEA"/>
      </right>
      <bottom style="thin">
        <color rgb="00D5DFEA"/>
      </bottom>
    </border>
    <border>
      <left style="thin">
        <color rgb="00D5DFEA"/>
      </left>
      <right style="thin">
        <color rgb="00D5DFEA"/>
      </right>
      <top style="thick">
        <color rgb="002F86D6"/>
      </top>
    </border>
    <border>
      <left/>
      <right/>
      <top style="thick">
        <color rgb="002F86D6"/>
      </top>
      <bottom/>
      <diagonal/>
    </border>
    <border>
      <left/>
      <right style="thin">
        <color rgb="00D5DFEA"/>
      </right>
      <top style="thick">
        <color rgb="002F86D6"/>
      </top>
      <bottom/>
      <diagonal/>
    </border>
    <border>
      <left style="thin">
        <color rgb="00D5DFEA"/>
      </left>
      <right style="thin">
        <color rgb="00D5DFEA"/>
      </right>
    </border>
    <border>
      <left style="thin">
        <color rgb="00D5DFEA"/>
      </left>
      <right/>
      <top/>
      <bottom/>
      <diagonal/>
    </border>
    <border>
      <left/>
      <right style="thin">
        <color rgb="00D5DFEA"/>
      </right>
      <top/>
      <bottom/>
      <diagonal/>
    </border>
    <border>
      <left style="thin">
        <color rgb="00D5DFEA"/>
      </left>
      <right style="thin">
        <color rgb="00D5DFEA"/>
      </right>
      <bottom style="thin">
        <color rgb="00D5DFEA"/>
      </bottom>
    </border>
    <border>
      <left/>
      <right/>
      <top/>
      <bottom style="thin">
        <color rgb="00D5DFEA"/>
      </bottom>
      <diagonal/>
    </border>
    <border>
      <left/>
      <right style="thin">
        <color rgb="00D5DFEA"/>
      </right>
      <top/>
      <bottom style="thin">
        <color rgb="00D5DFEA"/>
      </bottom>
      <diagonal/>
    </border>
    <border>
      <left style="thin">
        <color rgb="00D5DFEA"/>
      </left>
      <top style="thick">
        <color rgb="00E0457B"/>
      </top>
    </border>
    <border>
      <top style="thick">
        <color rgb="00E0457B"/>
      </top>
    </border>
    <border>
      <right style="thin">
        <color rgb="00D5DFEA"/>
      </right>
      <top style="thick">
        <color rgb="00E0457B"/>
      </top>
    </border>
    <border>
      <left style="thin">
        <color rgb="00D5DFEA"/>
      </left>
      <right style="thin">
        <color rgb="00D5DFEA"/>
      </right>
      <top style="thick">
        <color rgb="00E0457B"/>
      </top>
    </border>
    <border>
      <left/>
      <right/>
      <top style="thick">
        <color rgb="00E0457B"/>
      </top>
      <bottom/>
      <diagonal/>
    </border>
    <border>
      <left/>
      <right style="thin">
        <color rgb="00D5DFEA"/>
      </right>
      <top style="thick">
        <color rgb="00E0457B"/>
      </top>
      <bottom/>
      <diagonal/>
    </border>
    <border>
      <left style="thin">
        <color rgb="00D5DFEA"/>
      </left>
      <top style="thick">
        <color rgb="00F2876B"/>
      </top>
    </border>
    <border>
      <top style="thick">
        <color rgb="00F2876B"/>
      </top>
    </border>
    <border>
      <right style="thin">
        <color rgb="00D5DFEA"/>
      </right>
      <top style="thick">
        <color rgb="00F2876B"/>
      </top>
    </border>
    <border>
      <left style="thin">
        <color rgb="00D5DFEA"/>
      </left>
      <right style="thin">
        <color rgb="00D5DFEA"/>
      </right>
      <top style="thick">
        <color rgb="00F2876B"/>
      </top>
    </border>
    <border>
      <left/>
      <right/>
      <top style="thick">
        <color rgb="00F2876B"/>
      </top>
      <bottom/>
      <diagonal/>
    </border>
    <border>
      <left/>
      <right style="thin">
        <color rgb="00D5DFEA"/>
      </right>
      <top style="thick">
        <color rgb="00F2876B"/>
      </top>
      <bottom/>
      <diagonal/>
    </border>
    <border>
      <left/>
      <right/>
      <top style="thin">
        <color rgb="00D5DFEA"/>
      </top>
      <bottom/>
      <diagonal/>
    </border>
    <border>
      <left/>
      <right style="thin">
        <color rgb="00D5DFEA"/>
      </right>
      <top style="thin">
        <color rgb="00D5DFEA"/>
      </top>
      <bottom/>
      <diagonal/>
    </border>
    <border>
      <left/>
      <right style="thin">
        <color rgb="00D5DFEA"/>
      </right>
      <top style="thin">
        <color rgb="00D5DFEA"/>
      </top>
      <bottom style="thin">
        <color rgb="00D5DFEA"/>
      </bottom>
      <diagonal/>
    </border>
    <border>
      <left style="thin">
        <color rgb="00D5DFEA"/>
      </left>
      <top style="thick">
        <color rgb="001A6B3C"/>
      </top>
    </border>
    <border>
      <top style="thick">
        <color rgb="001A6B3C"/>
      </top>
    </border>
    <border>
      <right style="thin">
        <color rgb="00D5DFEA"/>
      </right>
      <top style="thick">
        <color rgb="001A6B3C"/>
      </top>
    </border>
    <border>
      <left style="thin">
        <color rgb="00D5DFEA"/>
      </left>
      <right style="thin">
        <color rgb="00D5DFEA"/>
      </right>
      <top style="thick">
        <color rgb="001A6B3C"/>
      </top>
    </border>
    <border>
      <left/>
      <right/>
      <top style="thick">
        <color rgb="001A6B3C"/>
      </top>
      <bottom/>
      <diagonal/>
    </border>
    <border>
      <left/>
      <right style="thin">
        <color rgb="00D5DFEA"/>
      </right>
      <top style="thick">
        <color rgb="001A6B3C"/>
      </top>
      <bottom/>
      <diagonal/>
    </border>
    <border>
      <bottom style="hair">
        <color rgb="00D5DFEA"/>
      </bottom>
    </border>
    <border>
      <left/>
      <right/>
      <top style="thin">
        <color rgb="00D5DFEA"/>
      </top>
      <bottom style="thin">
        <color rgb="00D5DFEA"/>
      </bottom>
      <diagonal/>
    </border>
  </borders>
  <cellStyleXfs count="1">
    <xf numFmtId="0" fontId="0" fillId="0" borderId="0"/>
  </cellStyleXfs>
  <cellXfs count="140">
    <xf numFmtId="0" fontId="0" fillId="0" borderId="0" pivotButton="0" quotePrefix="0" xfId="0"/>
    <xf numFmtId="0" fontId="0" fillId="2" borderId="0" pivotButton="0" quotePrefix="0" xfId="0"/>
    <xf numFmtId="0" fontId="30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/>
    </xf>
    <xf numFmtId="0" fontId="0" fillId="3" borderId="0" pivotButton="0" quotePrefix="0" xfId="0"/>
    <xf numFmtId="0" fontId="0" fillId="4" borderId="0" pivotButton="0" quotePrefix="0" xfId="0"/>
    <xf numFmtId="0" fontId="0" fillId="6" borderId="0" pivotButton="0" quotePrefix="0" xfId="0"/>
    <xf numFmtId="0" fontId="20" fillId="6" borderId="0" applyAlignment="1" pivotButton="0" quotePrefix="0" xfId="0">
      <alignment horizontal="left" vertical="center" indent="1"/>
    </xf>
    <xf numFmtId="0" fontId="10" fillId="8" borderId="23" applyAlignment="1" pivotButton="0" quotePrefix="0" xfId="0">
      <alignment horizontal="left" vertical="center" indent="1"/>
    </xf>
    <xf numFmtId="0" fontId="0" fillId="0" borderId="24" pivotButton="0" quotePrefix="0" xfId="0"/>
    <xf numFmtId="0" fontId="0" fillId="0" borderId="25" pivotButton="0" quotePrefix="0" xfId="0"/>
    <xf numFmtId="0" fontId="10" fillId="8" borderId="29" applyAlignment="1" pivotButton="0" quotePrefix="0" xfId="0">
      <alignment horizontal="left" vertical="center" indent="1"/>
    </xf>
    <xf numFmtId="0" fontId="0" fillId="0" borderId="30" pivotButton="0" quotePrefix="0" xfId="0"/>
    <xf numFmtId="0" fontId="0" fillId="0" borderId="31" pivotButton="0" quotePrefix="0" xfId="0"/>
    <xf numFmtId="0" fontId="10" fillId="8" borderId="11" applyAlignment="1" pivotButton="0" quotePrefix="0" xfId="0">
      <alignment horizontal="left" vertical="center" indent="1"/>
    </xf>
    <xf numFmtId="0" fontId="0" fillId="0" borderId="12" pivotButton="0" quotePrefix="0" xfId="0"/>
    <xf numFmtId="0" fontId="0" fillId="0" borderId="13" pivotButton="0" quotePrefix="0" xfId="0"/>
    <xf numFmtId="168" fontId="31" fillId="8" borderId="14" applyAlignment="1" pivotButton="0" quotePrefix="0" xfId="0">
      <alignment horizontal="left" vertical="center" indent="1"/>
    </xf>
    <xf numFmtId="0" fontId="0" fillId="0" borderId="16" pivotButton="0" quotePrefix="0" xfId="0"/>
    <xf numFmtId="167" fontId="31" fillId="8" borderId="14" applyAlignment="1" pivotButton="0" quotePrefix="0" xfId="0">
      <alignment horizontal="left" vertical="center" indent="1"/>
    </xf>
    <xf numFmtId="167" fontId="32" fillId="8" borderId="14" applyAlignment="1" pivotButton="0" quotePrefix="0" xfId="0">
      <alignment horizontal="left" vertical="center" indent="1"/>
    </xf>
    <xf numFmtId="0" fontId="0" fillId="0" borderId="15" pivotButton="0" quotePrefix="0" xfId="0"/>
    <xf numFmtId="0" fontId="12" fillId="8" borderId="17" applyAlignment="1" pivotButton="0" quotePrefix="0" xfId="0">
      <alignment horizontal="left" vertical="center" indent="1"/>
    </xf>
    <xf numFmtId="0" fontId="0" fillId="0" borderId="18" pivotButton="0" quotePrefix="0" xfId="0"/>
    <xf numFmtId="0" fontId="0" fillId="0" borderId="19" pivotButton="0" quotePrefix="0" xfId="0"/>
    <xf numFmtId="0" fontId="33" fillId="6" borderId="0" applyAlignment="1" pivotButton="0" quotePrefix="0" xfId="0">
      <alignment horizontal="left" vertical="center" indent="1"/>
    </xf>
    <xf numFmtId="0" fontId="34" fillId="12" borderId="0" applyAlignment="1" pivotButton="0" quotePrefix="0" xfId="0">
      <alignment horizontal="center" vertical="center" wrapText="1"/>
    </xf>
    <xf numFmtId="0" fontId="0" fillId="12" borderId="0" pivotButton="0" quotePrefix="0" xfId="0"/>
    <xf numFmtId="0" fontId="19" fillId="6" borderId="0" applyAlignment="1" pivotButton="0" quotePrefix="0" xfId="0">
      <alignment horizontal="left" vertical="center" indent="1"/>
    </xf>
    <xf numFmtId="0" fontId="12" fillId="6" borderId="0" applyAlignment="1" pivotButton="0" quotePrefix="0" xfId="0">
      <alignment horizontal="left" vertical="center" indent="1"/>
    </xf>
    <xf numFmtId="0" fontId="1" fillId="2" borderId="0" applyAlignment="1" pivotButton="0" quotePrefix="0" xfId="0">
      <alignment vertical="center"/>
    </xf>
    <xf numFmtId="0" fontId="3" fillId="2" borderId="0" applyAlignment="1" pivotButton="0" quotePrefix="0" xfId="0">
      <alignment horizontal="right" vertical="center"/>
    </xf>
    <xf numFmtId="0" fontId="7" fillId="6" borderId="0" applyAlignment="1" pivotButton="0" quotePrefix="0" xfId="0">
      <alignment horizontal="right" vertical="center"/>
    </xf>
    <xf numFmtId="0" fontId="8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9" fillId="6" borderId="0" pivotButton="0" quotePrefix="0" xfId="0"/>
    <xf numFmtId="164" fontId="11" fillId="8" borderId="14" applyAlignment="1" pivotButton="0" quotePrefix="0" xfId="0">
      <alignment horizontal="left" vertical="center" indent="1"/>
    </xf>
    <xf numFmtId="167" fontId="13" fillId="8" borderId="14" applyAlignment="1" pivotButton="0" quotePrefix="0" xfId="0">
      <alignment horizontal="left" vertical="center" indent="1"/>
    </xf>
    <xf numFmtId="168" fontId="13" fillId="8" borderId="14" applyAlignment="1" pivotButton="0" quotePrefix="0" xfId="0">
      <alignment horizontal="left" vertical="center" indent="1"/>
    </xf>
    <xf numFmtId="0" fontId="12" fillId="8" borderId="8" applyAlignment="1" pivotButton="0" quotePrefix="0" xfId="0">
      <alignment horizontal="left" vertical="center" indent="1"/>
    </xf>
    <xf numFmtId="167" fontId="14" fillId="8" borderId="10" applyAlignment="1" pivotButton="0" quotePrefix="0" xfId="0">
      <alignment horizontal="right" vertical="center"/>
    </xf>
    <xf numFmtId="164" fontId="14" fillId="8" borderId="10" applyAlignment="1" pivotButton="0" quotePrefix="0" xfId="0">
      <alignment horizontal="right" vertical="center"/>
    </xf>
    <xf numFmtId="0" fontId="15" fillId="6" borderId="0" pivotButton="0" quotePrefix="0" xfId="0"/>
    <xf numFmtId="1" fontId="8" fillId="7" borderId="1" applyAlignment="1" pivotButton="0" quotePrefix="0" xfId="0">
      <alignment horizontal="center" vertical="center" wrapText="1"/>
    </xf>
    <xf numFmtId="0" fontId="15" fillId="6" borderId="0" applyAlignment="1" pivotButton="0" quotePrefix="0" xfId="0">
      <alignment horizontal="left" vertical="center" indent="1"/>
    </xf>
    <xf numFmtId="0" fontId="10" fillId="6" borderId="0" pivotButton="0" quotePrefix="0" xfId="0"/>
    <xf numFmtId="0" fontId="4" fillId="5" borderId="1" applyAlignment="1" pivotButton="0" quotePrefix="0" xfId="0">
      <alignment horizontal="center" vertical="center" wrapText="1"/>
    </xf>
    <xf numFmtId="0" fontId="16" fillId="8" borderId="1" applyAlignment="1" pivotButton="0" quotePrefix="0" xfId="0">
      <alignment horizontal="left" vertical="center" indent="1"/>
    </xf>
    <xf numFmtId="167" fontId="16" fillId="8" borderId="1" applyAlignment="1" pivotButton="0" quotePrefix="0" xfId="0">
      <alignment horizontal="center" vertical="center"/>
    </xf>
    <xf numFmtId="0" fontId="16" fillId="8" borderId="1" applyAlignment="1" pivotButton="0" quotePrefix="0" xfId="0">
      <alignment horizontal="center" vertical="center"/>
    </xf>
    <xf numFmtId="169" fontId="16" fillId="8" borderId="1" applyAlignment="1" pivotButton="0" quotePrefix="0" xfId="0">
      <alignment horizontal="center" vertical="center"/>
    </xf>
    <xf numFmtId="0" fontId="7" fillId="6" borderId="0" pivotButton="0" quotePrefix="0" xfId="0"/>
    <xf numFmtId="167" fontId="7" fillId="6" borderId="0" applyAlignment="1" pivotButton="0" quotePrefix="0" xfId="0">
      <alignment horizontal="center"/>
    </xf>
    <xf numFmtId="0" fontId="17" fillId="6" borderId="0" pivotButton="0" quotePrefix="0" xfId="0"/>
    <xf numFmtId="0" fontId="18" fillId="8" borderId="23" applyAlignment="1" pivotButton="0" quotePrefix="0" xfId="0">
      <alignment horizontal="left" vertical="center" indent="1"/>
    </xf>
    <xf numFmtId="0" fontId="19" fillId="8" borderId="5" applyAlignment="1" pivotButton="0" quotePrefix="0" xfId="0">
      <alignment horizontal="left" vertical="center" indent="1"/>
    </xf>
    <xf numFmtId="167" fontId="20" fillId="8" borderId="7" applyAlignment="1" pivotButton="0" quotePrefix="0" xfId="0">
      <alignment horizontal="right" vertical="center"/>
    </xf>
    <xf numFmtId="1" fontId="20" fillId="8" borderId="7" applyAlignment="1" pivotButton="0" quotePrefix="0" xfId="0">
      <alignment horizontal="right" vertical="center"/>
    </xf>
    <xf numFmtId="0" fontId="0" fillId="8" borderId="8" pivotButton="0" quotePrefix="0" xfId="0"/>
    <xf numFmtId="0" fontId="0" fillId="8" borderId="9" pivotButton="0" quotePrefix="0" xfId="0"/>
    <xf numFmtId="0" fontId="0" fillId="8" borderId="10" pivotButton="0" quotePrefix="0" xfId="0"/>
    <xf numFmtId="0" fontId="0" fillId="9" borderId="0" pivotButton="0" quotePrefix="0" xfId="0"/>
    <xf numFmtId="0" fontId="12" fillId="6" borderId="0" pivotButton="0" quotePrefix="0" xfId="0"/>
    <xf numFmtId="0" fontId="0" fillId="10" borderId="0" pivotButton="0" quotePrefix="0" xfId="0"/>
    <xf numFmtId="0" fontId="0" fillId="11" borderId="0" pivotButton="0" quotePrefix="0" xfId="0"/>
    <xf numFmtId="164" fontId="20" fillId="8" borderId="7" applyAlignment="1" pivotButton="0" quotePrefix="0" xfId="0">
      <alignment horizontal="right" vertical="center"/>
    </xf>
    <xf numFmtId="168" fontId="20" fillId="8" borderId="7" applyAlignment="1" pivotButton="0" quotePrefix="0" xfId="0">
      <alignment horizontal="right" vertical="center"/>
    </xf>
    <xf numFmtId="0" fontId="20" fillId="8" borderId="7" applyAlignment="1" pivotButton="0" quotePrefix="0" xfId="0">
      <alignment horizontal="right" vertical="center"/>
    </xf>
    <xf numFmtId="0" fontId="21" fillId="8" borderId="17" applyAlignment="1" pivotButton="0" quotePrefix="0" xfId="0">
      <alignment horizontal="left" vertical="center" indent="1"/>
    </xf>
    <xf numFmtId="164" fontId="20" fillId="6" borderId="0" applyAlignment="1" pivotButton="0" quotePrefix="0" xfId="0">
      <alignment horizontal="right" vertical="center"/>
    </xf>
    <xf numFmtId="0" fontId="22" fillId="6" borderId="0" applyAlignment="1" pivotButton="0" quotePrefix="0" xfId="0">
      <alignment horizontal="left" vertical="center" indent="1"/>
    </xf>
    <xf numFmtId="164" fontId="23" fillId="6" borderId="0" pivotButton="0" quotePrefix="0" xfId="0"/>
    <xf numFmtId="0" fontId="0" fillId="0" borderId="34" pivotButton="0" quotePrefix="0" xfId="0"/>
    <xf numFmtId="0" fontId="24" fillId="8" borderId="1" applyAlignment="1" pivotButton="0" quotePrefix="0" xfId="0">
      <alignment horizontal="left" vertical="center" indent="1"/>
    </xf>
    <xf numFmtId="0" fontId="0" fillId="8" borderId="1" pivotButton="0" quotePrefix="0" xfId="0"/>
    <xf numFmtId="0" fontId="12" fillId="8" borderId="1" pivotButton="0" quotePrefix="0" xfId="0"/>
    <xf numFmtId="166" fontId="0" fillId="8" borderId="1" pivotButton="0" quotePrefix="0" xfId="0"/>
    <xf numFmtId="167" fontId="8" fillId="7" borderId="1" applyAlignment="1" pivotButton="0" quotePrefix="0" xfId="0">
      <alignment horizontal="center"/>
    </xf>
    <xf numFmtId="0" fontId="0" fillId="8" borderId="1" applyAlignment="1" pivotButton="0" quotePrefix="0" xfId="0">
      <alignment horizontal="right" vertical="center"/>
    </xf>
    <xf numFmtId="0" fontId="0" fillId="8" borderId="1" applyAlignment="1" pivotButton="0" quotePrefix="0" xfId="0">
      <alignment horizontal="center"/>
    </xf>
    <xf numFmtId="164" fontId="0" fillId="8" borderId="1" applyAlignment="1" pivotButton="0" quotePrefix="0" xfId="0">
      <alignment horizontal="center"/>
    </xf>
    <xf numFmtId="0" fontId="10" fillId="0" borderId="0" pivotButton="0" quotePrefix="0" xfId="0"/>
    <xf numFmtId="164" fontId="8" fillId="7" borderId="1" applyAlignment="1" pivotButton="0" quotePrefix="0" xfId="0">
      <alignment horizontal="right" vertical="center"/>
    </xf>
    <xf numFmtId="0" fontId="15" fillId="0" borderId="0" pivotButton="0" quotePrefix="0" xfId="0"/>
    <xf numFmtId="164" fontId="0" fillId="0" borderId="0" pivotButton="0" quotePrefix="0" xfId="0"/>
    <xf numFmtId="49" fontId="8" fillId="7" borderId="1" applyAlignment="1" pivotButton="0" quotePrefix="0" xfId="0">
      <alignment horizontal="right" vertical="center"/>
    </xf>
    <xf numFmtId="1" fontId="8" fillId="7" borderId="1" applyAlignment="1" pivotButton="0" quotePrefix="0" xfId="0">
      <alignment horizontal="right" vertical="center"/>
    </xf>
    <xf numFmtId="164" fontId="24" fillId="0" borderId="1" applyAlignment="1" pivotButton="0" quotePrefix="0" xfId="0">
      <alignment horizontal="right" vertical="center"/>
    </xf>
    <xf numFmtId="168" fontId="24" fillId="0" borderId="1" applyAlignment="1" pivotButton="0" quotePrefix="0" xfId="0">
      <alignment horizontal="right" vertical="center"/>
    </xf>
    <xf numFmtId="167" fontId="24" fillId="0" borderId="1" applyAlignment="1" pivotButton="0" quotePrefix="0" xfId="0">
      <alignment horizontal="right" vertical="center"/>
    </xf>
    <xf numFmtId="166" fontId="24" fillId="0" borderId="1" applyAlignment="1" pivotButton="0" quotePrefix="0" xfId="0">
      <alignment horizontal="right" vertical="center"/>
    </xf>
    <xf numFmtId="49" fontId="24" fillId="0" borderId="1" applyAlignment="1" pivotButton="0" quotePrefix="0" xfId="0">
      <alignment horizontal="right" vertical="center"/>
    </xf>
    <xf numFmtId="0" fontId="22" fillId="0" borderId="0" pivotButton="0" quotePrefix="0" xfId="0"/>
    <xf numFmtId="49" fontId="8" fillId="7" borderId="1" applyAlignment="1" pivotButton="0" quotePrefix="0" xfId="0">
      <alignment horizontal="center" vertical="center" wrapText="1"/>
    </xf>
    <xf numFmtId="164" fontId="8" fillId="7" borderId="1" applyAlignment="1" pivotButton="0" quotePrefix="0" xfId="0">
      <alignment horizontal="center" vertical="center" wrapText="1"/>
    </xf>
    <xf numFmtId="164" fontId="16" fillId="8" borderId="1" applyAlignment="1" pivotButton="0" quotePrefix="0" xfId="0">
      <alignment horizontal="center" vertical="center" wrapText="1"/>
    </xf>
    <xf numFmtId="167" fontId="16" fillId="8" borderId="1" applyAlignment="1" pivotButton="0" quotePrefix="0" xfId="0">
      <alignment horizontal="center" vertical="center" wrapText="1"/>
    </xf>
    <xf numFmtId="49" fontId="16" fillId="8" borderId="1" applyAlignment="1" pivotButton="0" quotePrefix="0" xfId="0">
      <alignment horizontal="center" vertical="center" wrapText="1"/>
    </xf>
    <xf numFmtId="168" fontId="16" fillId="8" borderId="1" applyAlignment="1" pivotButton="0" quotePrefix="0" xfId="0">
      <alignment horizontal="center" vertical="center" wrapText="1"/>
    </xf>
    <xf numFmtId="0" fontId="24" fillId="8" borderId="38" applyAlignment="1" pivotButton="0" quotePrefix="0" xfId="0">
      <alignment horizontal="left" vertical="center" indent="1"/>
    </xf>
    <xf numFmtId="0" fontId="0" fillId="0" borderId="39" pivotButton="0" quotePrefix="0" xfId="0"/>
    <xf numFmtId="0" fontId="0" fillId="0" borderId="40" pivotButton="0" quotePrefix="0" xfId="0"/>
    <xf numFmtId="0" fontId="24" fillId="8" borderId="23" applyAlignment="1" pivotButton="0" quotePrefix="0" xfId="0">
      <alignment horizontal="left" vertical="center" indent="1"/>
    </xf>
    <xf numFmtId="0" fontId="12" fillId="8" borderId="5" applyAlignment="1" pivotButton="0" quotePrefix="0" xfId="0">
      <alignment horizontal="left" vertical="center" indent="1"/>
    </xf>
    <xf numFmtId="1" fontId="25" fillId="8" borderId="7" applyAlignment="1" pivotButton="0" quotePrefix="0" xfId="0">
      <alignment horizontal="center" vertical="center" wrapText="1"/>
    </xf>
    <xf numFmtId="49" fontId="16" fillId="8" borderId="41" applyAlignment="1" pivotButton="0" quotePrefix="0" xfId="0">
      <alignment horizontal="center" vertical="center" wrapText="1"/>
    </xf>
    <xf numFmtId="164" fontId="16" fillId="8" borderId="41" applyAlignment="1" pivotButton="0" quotePrefix="0" xfId="0">
      <alignment horizontal="center" vertical="center" wrapText="1"/>
    </xf>
    <xf numFmtId="167" fontId="16" fillId="8" borderId="41" applyAlignment="1" pivotButton="0" quotePrefix="0" xfId="0">
      <alignment horizontal="center" vertical="center" wrapText="1"/>
    </xf>
    <xf numFmtId="164" fontId="25" fillId="8" borderId="7" applyAlignment="1" pivotButton="0" quotePrefix="0" xfId="0">
      <alignment horizontal="center" vertical="center" wrapText="1"/>
    </xf>
    <xf numFmtId="167" fontId="26" fillId="8" borderId="7" applyAlignment="1" pivotButton="0" quotePrefix="0" xfId="0">
      <alignment horizontal="center" vertical="center" wrapText="1"/>
    </xf>
    <xf numFmtId="49" fontId="16" fillId="8" borderId="5" applyAlignment="1" pivotButton="0" quotePrefix="0" xfId="0">
      <alignment horizontal="center" vertical="center" wrapText="1"/>
    </xf>
    <xf numFmtId="1" fontId="16" fillId="8" borderId="6" applyAlignment="1" pivotButton="0" quotePrefix="0" xfId="0">
      <alignment horizontal="center" vertical="center" wrapText="1"/>
    </xf>
    <xf numFmtId="167" fontId="16" fillId="8" borderId="6" applyAlignment="1" pivotButton="0" quotePrefix="0" xfId="0">
      <alignment horizontal="center" vertical="center" wrapText="1"/>
    </xf>
    <xf numFmtId="0" fontId="0" fillId="8" borderId="7" pivotButton="0" quotePrefix="0" xfId="0"/>
    <xf numFmtId="0" fontId="0" fillId="8" borderId="5" pivotButton="0" quotePrefix="0" xfId="0"/>
    <xf numFmtId="0" fontId="0" fillId="8" borderId="6" pivotButton="0" quotePrefix="0" xfId="0"/>
    <xf numFmtId="49" fontId="16" fillId="8" borderId="8" applyAlignment="1" pivotButton="0" quotePrefix="0" xfId="0">
      <alignment horizontal="center" vertical="center" wrapText="1"/>
    </xf>
    <xf numFmtId="1" fontId="16" fillId="8" borderId="9" applyAlignment="1" pivotButton="0" quotePrefix="0" xfId="0">
      <alignment horizontal="center" vertical="center" wrapText="1"/>
    </xf>
    <xf numFmtId="167" fontId="16" fillId="8" borderId="9" applyAlignment="1" pivotButton="0" quotePrefix="0" xfId="0">
      <alignment horizontal="center" vertical="center" wrapText="1"/>
    </xf>
    <xf numFmtId="0" fontId="0" fillId="0" borderId="42" pivotButton="0" quotePrefix="0" xfId="0"/>
    <xf numFmtId="0" fontId="24" fillId="8" borderId="9" pivotButton="0" quotePrefix="0" xfId="0"/>
    <xf numFmtId="0" fontId="19" fillId="8" borderId="9" applyAlignment="1" pivotButton="0" quotePrefix="0" xfId="0">
      <alignment horizontal="left" vertical="center" indent="1"/>
    </xf>
    <xf numFmtId="0" fontId="22" fillId="8" borderId="9" pivotButton="0" quotePrefix="0" xfId="0"/>
    <xf numFmtId="0" fontId="27" fillId="8" borderId="9" applyAlignment="1" pivotButton="0" quotePrefix="0" xfId="0">
      <alignment vertical="center" wrapText="1" indent="1"/>
    </xf>
    <xf numFmtId="0" fontId="24" fillId="8" borderId="9" applyAlignment="1" pivotButton="0" quotePrefix="0" xfId="0">
      <alignment vertical="center" wrapText="1" indent="1"/>
    </xf>
    <xf numFmtId="0" fontId="0" fillId="8" borderId="9" applyAlignment="1" pivotButton="0" quotePrefix="0" xfId="0">
      <alignment vertical="center" wrapText="1" indent="1"/>
    </xf>
    <xf numFmtId="0" fontId="22" fillId="8" borderId="9" applyAlignment="1" pivotButton="0" quotePrefix="0" xfId="0">
      <alignment vertical="center" wrapText="1" indent="1"/>
    </xf>
    <xf numFmtId="0" fontId="4" fillId="8" borderId="9" applyAlignment="1" pivotButton="0" quotePrefix="0" xfId="0">
      <alignment vertical="center" wrapText="1" indent="1"/>
    </xf>
    <xf numFmtId="0" fontId="28" fillId="8" borderId="9" applyAlignment="1" pivotButton="0" quotePrefix="0" xfId="0">
      <alignment vertical="center" wrapText="1" indent="1"/>
    </xf>
    <xf numFmtId="0" fontId="29" fillId="8" borderId="9" applyAlignment="1" pivotButton="0" quotePrefix="0" xfId="0">
      <alignment vertical="center" wrapText="1" indent="1"/>
    </xf>
    <xf numFmtId="0" fontId="19" fillId="6" borderId="0" pivotButton="0" quotePrefix="0" xfId="0"/>
    <xf numFmtId="1" fontId="5" fillId="0" borderId="0" pivotButton="0" quotePrefix="0" xfId="0"/>
    <xf numFmtId="49" fontId="5" fillId="0" borderId="0" pivotButton="0" quotePrefix="0" xfId="0"/>
    <xf numFmtId="164" fontId="5" fillId="0" borderId="0" pivotButton="0" quotePrefix="0" xfId="0"/>
    <xf numFmtId="165" fontId="5" fillId="0" borderId="0" pivotButton="0" quotePrefix="0" xfId="0"/>
    <xf numFmtId="0" fontId="6" fillId="0" borderId="0" pivotButton="0" quotePrefix="0" xfId="0"/>
    <xf numFmtId="165" fontId="0" fillId="0" borderId="0" pivotButton="0" quotePrefix="0" xfId="0"/>
    <xf numFmtId="166" fontId="0" fillId="0" borderId="0" pivotButton="0" quotePrefix="0" xfId="0"/>
    <xf numFmtId="167" fontId="0" fillId="0" borderId="0" pivotButton="0" quotePrefix="0" xfId="0"/>
    <xf numFmtId="168" fontId="0" fillId="0" borderId="0" pivotButton="0" quotePrefix="0" xfId="0"/>
  </cellXfs>
  <cellStyles count="1">
    <cellStyle name="Normal" xfId="0" builtinId="0" hidden="0"/>
  </cellStyles>
  <dxfs count="4">
    <dxf>
      <font>
        <name val="Arial"/>
        <b val="1"/>
        <color rgb="00B8285E"/>
        <sz val="10"/>
      </font>
      <fill>
        <patternFill patternType="solid">
          <fgColor rgb="00FDEAF1"/>
        </patternFill>
      </fill>
    </dxf>
    <dxf>
      <font>
        <name val="Arial"/>
        <b val="1"/>
        <color rgb="000A7A0A"/>
        <sz val="10"/>
      </font>
      <fill>
        <patternFill patternType="solid">
          <fgColor rgb="00DFF5E1"/>
        </patternFill>
      </fill>
    </dxf>
    <dxf>
      <font>
        <name val="Arial"/>
        <b val="1"/>
        <color rgb="00B42323"/>
        <sz val="10"/>
      </font>
      <fill>
        <patternFill patternType="solid">
          <fgColor rgb="00FBE3E3"/>
        </patternFill>
      </fill>
    </dxf>
    <dxf>
      <font>
        <name val="Arial"/>
        <color rgb="00C9CED6"/>
        <sz val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styles" Target="styles.xml" Id="rId16"/><Relationship Type="http://schemas.openxmlformats.org/officeDocument/2006/relationships/theme" Target="theme/theme1.xml" Id="rId17"/></Relationships>
</file>

<file path=xl/charts/chart1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Loyer réel du type choisi (en couleur : période choisie)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'Calculs'!D4</f>
            </strRef>
          </tx>
          <spPr>
            <a:ln xmlns:a="http://schemas.openxmlformats.org/drawingml/2006/main" w="19050">
              <a:solidFill>
                <a:srgbClr val="C9D3DF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'Calculs'!$D$5:$D$38</f>
            </numRef>
          </val>
          <smooth val="0"/>
        </ser>
        <ser>
          <idx val="1"/>
          <order val="1"/>
          <tx>
            <strRef>
              <f>'Calculs'!E4</f>
            </strRef>
          </tx>
          <spPr>
            <a:ln xmlns:a="http://schemas.openxmlformats.org/drawingml/2006/main" w="38100">
              <a:solidFill>
                <a:srgbClr val="2F86D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'Calculs'!$E$5:$E$38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#,##0 &quot;$&quot;" sourceLinked="0"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Hausse du 2 chambres sur la période choisie</a:t>
            </a:r>
          </a:p>
        </rich>
      </tx>
      <overlay val="0"/>
    </title>
    <plotArea>
      <barChart>
        <barDir val="bar"/>
        <grouping val="clustered"/>
        <ser>
          <idx val="0"/>
          <order val="0"/>
          <spPr>
            <a:solidFill xmlns:a="http://schemas.openxmlformats.org/drawingml/2006/main">
              <a:srgbClr val="2F86D6"/>
            </a:solidFill>
            <a:ln xmlns:a="http://schemas.openxmlformats.org/drawingml/2006/main">
              <a:solidFill>
                <a:srgbClr val="2F86D6"/>
              </a:solidFill>
              <a:prstDash val="solid"/>
            </a:ln>
          </spPr>
          <dLbls>
            <numFmt formatCode="0%"/>
            <showLegendKey val="0"/>
            <showVal val="1"/>
            <showCatName val="0"/>
            <showSerName val="0"/>
            <showPercent val="0"/>
          </dLbls>
          <cat>
            <numRef>
              <f>'Calculs'!$F$42:$F$47</f>
            </numRef>
          </cat>
          <val>
            <numRef>
              <f>'Calculs'!$G$42:$G$47</f>
            </numRef>
          </val>
        </ser>
        <gapWidth val="5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0%" sourceLinked="0"/>
        <majorTickMark val="none"/>
        <minorTickMark val="none"/>
        <crossAx val="10"/>
      </valAx>
    </plotArea>
    <plotVisOnly val="1"/>
    <dispBlanksAs val="gap"/>
  </chart>
</chartSpace>
</file>

<file path=xl/charts/chart3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Loyer par type de logement (dollars courants)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'Calculs'!F4</f>
            </strRef>
          </tx>
          <spPr>
            <a:ln xmlns:a="http://schemas.openxmlformats.org/drawingml/2006/main" w="25400">
              <a:solidFill>
                <a:srgbClr val="C98500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'Calculs'!$F$5:$F$38</f>
            </numRef>
          </val>
          <smooth val="0"/>
        </ser>
        <ser>
          <idx val="1"/>
          <order val="1"/>
          <tx>
            <strRef>
              <f>'Calculs'!G4</f>
            </strRef>
          </tx>
          <spPr>
            <a:ln xmlns:a="http://schemas.openxmlformats.org/drawingml/2006/main" w="25400">
              <a:solidFill>
                <a:srgbClr val="2F86D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'Calculs'!$G$5:$G$38</f>
            </numRef>
          </val>
          <smooth val="0"/>
        </ser>
        <ser>
          <idx val="2"/>
          <order val="2"/>
          <tx>
            <strRef>
              <f>'Calculs'!H4</f>
            </strRef>
          </tx>
          <spPr>
            <a:ln xmlns:a="http://schemas.openxmlformats.org/drawingml/2006/main" w="25400">
              <a:solidFill>
                <a:srgbClr val="E0457B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'Calculs'!$H$5:$H$38</f>
            </numRef>
          </val>
          <smooth val="0"/>
        </ser>
        <ser>
          <idx val="3"/>
          <order val="3"/>
          <tx>
            <strRef>
              <f>'Calculs'!I4</f>
            </strRef>
          </tx>
          <spPr>
            <a:ln xmlns:a="http://schemas.openxmlformats.org/drawingml/2006/main" w="25400">
              <a:solidFill>
                <a:srgbClr val="7B6CD9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'Calculs'!$I$5:$I$38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#,##0 &quot;$&quot;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4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2 chambres : tous les locataires et logements reloués</a:t>
            </a:r>
          </a:p>
        </rich>
      </tx>
      <overlay val="0"/>
    </title>
    <plotArea>
      <barChart>
        <barDir val="col"/>
        <grouping val="clustered"/>
        <ser>
          <idx val="0"/>
          <order val="0"/>
          <tx>
            <strRef>
              <f>'Calculs'!B50</f>
            </strRef>
          </tx>
          <spPr>
            <a:solidFill xmlns:a="http://schemas.openxmlformats.org/drawingml/2006/main">
              <a:srgbClr val="2F86D6"/>
            </a:solidFill>
            <a:ln xmlns:a="http://schemas.openxmlformats.org/drawingml/2006/main">
              <a:solidFill>
                <a:srgbClr val="2F86D6"/>
              </a:solidFill>
              <a:prstDash val="solid"/>
            </a:ln>
          </spPr>
          <dLbls>
            <showLegendKey val="0"/>
            <showVal val="1"/>
            <showCatName val="0"/>
            <showSerName val="0"/>
            <showPercent val="0"/>
          </dLbls>
          <cat>
            <numRef>
              <f>'Calculs'!$A$51:$A$54</f>
            </numRef>
          </cat>
          <val>
            <numRef>
              <f>'Calculs'!$B$51:$B$54</f>
            </numRef>
          </val>
        </ser>
        <ser>
          <idx val="1"/>
          <order val="1"/>
          <tx>
            <strRef>
              <f>'Calculs'!C50</f>
            </strRef>
          </tx>
          <spPr>
            <a:solidFill xmlns:a="http://schemas.openxmlformats.org/drawingml/2006/main">
              <a:srgbClr val="E0457B"/>
            </a:solidFill>
            <a:ln xmlns:a="http://schemas.openxmlformats.org/drawingml/2006/main">
              <a:solidFill>
                <a:srgbClr val="E0457B"/>
              </a:solidFill>
              <a:prstDash val="solid"/>
            </a:ln>
          </spPr>
          <dLbls>
            <showLegendKey val="0"/>
            <showVal val="1"/>
            <showCatName val="0"/>
            <showSerName val="0"/>
            <showPercent val="0"/>
          </dLbls>
          <cat>
            <numRef>
              <f>'Calculs'!$A$51:$A$54</f>
            </numRef>
          </cat>
          <val>
            <numRef>
              <f>'Calculs'!$C$51:$C$54</f>
            </numRef>
          </val>
        </ser>
        <gapWidth val="60"/>
        <overlap val="-1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#,##0 &quot;$&quot;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5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Canada · une bulle par province, couleur selon la valeur (rose : province choisie)</a:t>
            </a:r>
          </a:p>
        </rich>
      </tx>
      <overlay val="0"/>
    </title>
    <plotArea>
      <scatterChart>
        <scatterStyle val="lineMarker"/>
        <ser>
          <idx val="0"/>
          <order val="0"/>
          <tx>
            <v>Contours</v>
          </tx>
          <spPr>
            <a:ln xmlns:a="http://schemas.openxmlformats.org/drawingml/2006/main" w="9525">
              <a:solidFill>
                <a:srgbClr val="9FB2C8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xVal>
            <numRef>
              <f>'Calculs'!$AJ$5:$AJ$850</f>
            </numRef>
          </xVal>
          <yVal>
            <numRef>
              <f>'Calculs'!$AK$5:$AK$850</f>
            </numRef>
          </yVal>
          <smooth val="0"/>
        </ser>
        <ser>
          <idx val="1"/>
          <order val="1"/>
          <tx>
            <v>Classe 1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2"/>
            <spPr>
              <a:solidFill xmlns:a="http://schemas.openxmlformats.org/drawingml/2006/main">
                <a:srgbClr val="CFE6FA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'Calculs'!$T$82:$T$91</f>
            </numRef>
          </yVal>
          <smooth val="0"/>
        </ser>
        <ser>
          <idx val="2"/>
          <order val="2"/>
          <tx>
            <v>Classe 2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5"/>
            <spPr>
              <a:solidFill xmlns:a="http://schemas.openxmlformats.org/drawingml/2006/main">
                <a:srgbClr val="9CCBF2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'Calculs'!$U$82:$U$91</f>
            </numRef>
          </yVal>
          <smooth val="0"/>
        </ser>
        <ser>
          <idx val="3"/>
          <order val="3"/>
          <tx>
            <v>Classe 3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8"/>
            <spPr>
              <a:solidFill xmlns:a="http://schemas.openxmlformats.org/drawingml/2006/main">
                <a:srgbClr val="5FA8E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'Calculs'!$V$82:$V$91</f>
            </numRef>
          </yVal>
          <smooth val="0"/>
        </ser>
        <ser>
          <idx val="4"/>
          <order val="4"/>
          <tx>
            <v>Classe 4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21"/>
            <spPr>
              <a:solidFill xmlns:a="http://schemas.openxmlformats.org/drawingml/2006/main">
                <a:srgbClr val="2F86D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'Calculs'!$W$82:$W$91</f>
            </numRef>
          </yVal>
          <smooth val="0"/>
        </ser>
        <ser>
          <idx val="5"/>
          <order val="5"/>
          <tx>
            <v>Classe 5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24"/>
            <spPr>
              <a:solidFill xmlns:a="http://schemas.openxmlformats.org/drawingml/2006/main">
                <a:srgbClr val="1F5FA8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'Calculs'!$X$82:$X$91</f>
            </numRef>
          </yVal>
          <smooth val="0"/>
        </ser>
        <ser>
          <idx val="6"/>
          <order val="6"/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26"/>
            <spPr>
              <a:solidFill xmlns:a="http://schemas.openxmlformats.org/drawingml/2006/main">
                <a:srgbClr val="E0457B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'Calculs'!$Y$82:$Y$91</f>
            </numRef>
          </yVal>
          <smooth val="0"/>
        </ser>
        <ser>
          <idx val="7"/>
          <order val="7"/>
          <tx>
            <strRef>
              <f>Calculs!$Q$82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'Calculs'!$R$82</f>
            </numRef>
          </xVal>
          <yVal>
            <numRef>
              <f>'Calculs'!$S$82</f>
            </numRef>
          </yVal>
          <smooth val="0"/>
        </ser>
        <ser>
          <idx val="8"/>
          <order val="8"/>
          <tx>
            <strRef>
              <f>Calculs!$Q$83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'Calculs'!$R$83</f>
            </numRef>
          </xVal>
          <yVal>
            <numRef>
              <f>'Calculs'!$S$83</f>
            </numRef>
          </yVal>
          <smooth val="0"/>
        </ser>
        <ser>
          <idx val="9"/>
          <order val="9"/>
          <tx>
            <strRef>
              <f>Calculs!$Q$84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'Calculs'!$R$84</f>
            </numRef>
          </xVal>
          <yVal>
            <numRef>
              <f>'Calculs'!$S$84</f>
            </numRef>
          </yVal>
          <smooth val="0"/>
        </ser>
        <ser>
          <idx val="10"/>
          <order val="10"/>
          <tx>
            <strRef>
              <f>Calculs!$Q$85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'Calculs'!$R$85</f>
            </numRef>
          </xVal>
          <yVal>
            <numRef>
              <f>'Calculs'!$S$85</f>
            </numRef>
          </yVal>
          <smooth val="0"/>
        </ser>
        <ser>
          <idx val="11"/>
          <order val="11"/>
          <tx>
            <strRef>
              <f>Calculs!$Q$86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'Calculs'!$R$86</f>
            </numRef>
          </xVal>
          <yVal>
            <numRef>
              <f>'Calculs'!$S$86</f>
            </numRef>
          </yVal>
          <smooth val="0"/>
        </ser>
        <ser>
          <idx val="12"/>
          <order val="12"/>
          <tx>
            <strRef>
              <f>Calculs!$Q$87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'Calculs'!$R$87</f>
            </numRef>
          </xVal>
          <yVal>
            <numRef>
              <f>'Calculs'!$S$87</f>
            </numRef>
          </yVal>
          <smooth val="0"/>
        </ser>
        <ser>
          <idx val="13"/>
          <order val="13"/>
          <tx>
            <strRef>
              <f>Calculs!$Q$88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'Calculs'!$R$88</f>
            </numRef>
          </xVal>
          <yVal>
            <numRef>
              <f>'Calculs'!$S$88</f>
            </numRef>
          </yVal>
          <smooth val="0"/>
        </ser>
        <ser>
          <idx val="14"/>
          <order val="14"/>
          <tx>
            <strRef>
              <f>Calculs!$Q$89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'Calculs'!$R$89</f>
            </numRef>
          </xVal>
          <yVal>
            <numRef>
              <f>'Calculs'!$S$89</f>
            </numRef>
          </yVal>
          <smooth val="0"/>
        </ser>
        <ser>
          <idx val="15"/>
          <order val="15"/>
          <tx>
            <strRef>
              <f>Calculs!$Q$90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'Calculs'!$R$90</f>
            </numRef>
          </xVal>
          <yVal>
            <numRef>
              <f>'Calculs'!$S$90</f>
            </numRef>
          </yVal>
          <smooth val="0"/>
        </ser>
        <ser>
          <idx val="16"/>
          <order val="16"/>
          <tx>
            <strRef>
              <f>Calculs!$Q$91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'Calculs'!$R$91</f>
            </numRef>
          </xVal>
          <yVal>
            <numRef>
              <f>'Calculs'!$S$91</f>
            </numRef>
          </yVal>
          <smooth val="0"/>
        </ser>
        <axId val="10"/>
        <axId val="20"/>
      </scatterChart>
      <valAx>
        <axId val="10"/>
        <scaling>
          <orientation val="minMax"/>
          <max val="2095.223512907466"/>
          <min val="1000"/>
        </scaling>
        <delete val="1"/>
        <axPos val="l"/>
        <majorTickMark val="none"/>
        <minorTickMark val="none"/>
        <crossAx val="20"/>
      </valAx>
      <valAx>
        <axId val="20"/>
        <scaling>
          <orientation val="minMax"/>
          <max val="1590.190443911958"/>
          <min val="1000"/>
        </scaling>
        <delete val="1"/>
        <axPos val="l"/>
        <majorTickMark val="none"/>
        <minorTickMark val="none"/>
        <crossAx val="10"/>
      </valAx>
      <spPr>
        <a:solidFill xmlns:a="http://schemas.openxmlformats.org/drawingml/2006/main">
          <a:srgbClr val="FFFFFF"/>
        </a:solidFill>
        <a:ln xmlns:a="http://schemas.openxmlformats.org/drawingml/2006/main">
          <a:prstDash val="solid"/>
        </a:ln>
      </spPr>
    </plotArea>
    <plotVisOnly val="1"/>
    <dispBlanksAs val="gap"/>
  </chart>
</chartSpace>
</file>

<file path=xl/charts/chart6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IPC du loyer, base 2019 = 100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'Calculs'!B101</f>
            </strRef>
          </tx>
          <spPr>
            <a:ln xmlns:a="http://schemas.openxmlformats.org/drawingml/2006/main" w="31750">
              <a:solidFill>
                <a:srgbClr val="E0457B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'Calculs'!$A$102:$A$108</f>
            </numRef>
          </cat>
          <val>
            <numRef>
              <f>'Calculs'!$B$102:$B$108</f>
            </numRef>
          </val>
          <smooth val="0"/>
        </ser>
        <ser>
          <idx val="1"/>
          <order val="1"/>
          <tx>
            <strRef>
              <f>'Calculs'!C101</f>
            </strRef>
          </tx>
          <spPr>
            <a:ln xmlns:a="http://schemas.openxmlformats.org/drawingml/2006/main" w="19050">
              <a:solidFill>
                <a:srgbClr val="A9B6C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'Calculs'!$A$102:$A$108</f>
            </numRef>
          </cat>
          <val>
            <numRef>
              <f>'Calculs'!$C$102:$C$108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90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7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Québec, Ontario et Maritimes</a:t>
            </a:r>
          </a:p>
        </rich>
      </tx>
      <overlay val="0"/>
    </title>
    <plotArea>
      <scatterChart>
        <scatterStyle val="lineMarker"/>
        <ser>
          <idx val="0"/>
          <order val="0"/>
          <tx>
            <v>Contours</v>
          </tx>
          <spPr>
            <a:ln xmlns:a="http://schemas.openxmlformats.org/drawingml/2006/main" w="9525">
              <a:solidFill>
                <a:srgbClr val="9FB2C8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xVal>
            <numRef>
              <f>'Calculs'!$AM$5:$AM$682</f>
            </numRef>
          </xVal>
          <yVal>
            <numRef>
              <f>'Calculs'!$AN$5:$AN$682</f>
            </numRef>
          </yVal>
          <smooth val="0"/>
        </ser>
        <ser>
          <idx val="1"/>
          <order val="1"/>
          <tx>
            <v>Classe 1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7"/>
            <spPr>
              <a:solidFill xmlns:a="http://schemas.openxmlformats.org/drawingml/2006/main">
                <a:srgbClr val="CFE6FA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'Calculs'!$O$112:$O$127</f>
            </numRef>
          </yVal>
          <smooth val="0"/>
        </ser>
        <ser>
          <idx val="2"/>
          <order val="2"/>
          <tx>
            <v>Classe 2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9"/>
            <spPr>
              <a:solidFill xmlns:a="http://schemas.openxmlformats.org/drawingml/2006/main">
                <a:srgbClr val="9CCBF2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'Calculs'!$P$112:$P$127</f>
            </numRef>
          </yVal>
          <smooth val="0"/>
        </ser>
        <ser>
          <idx val="3"/>
          <order val="3"/>
          <tx>
            <v>Classe 3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1"/>
            <spPr>
              <a:solidFill xmlns:a="http://schemas.openxmlformats.org/drawingml/2006/main">
                <a:srgbClr val="5FA8E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'Calculs'!$Q$112:$Q$127</f>
            </numRef>
          </yVal>
          <smooth val="0"/>
        </ser>
        <ser>
          <idx val="4"/>
          <order val="4"/>
          <tx>
            <v>Classe 4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3"/>
            <spPr>
              <a:solidFill xmlns:a="http://schemas.openxmlformats.org/drawingml/2006/main">
                <a:srgbClr val="2F86D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'Calculs'!$R$112:$R$127</f>
            </numRef>
          </yVal>
          <smooth val="0"/>
        </ser>
        <ser>
          <idx val="5"/>
          <order val="5"/>
          <tx>
            <v>Classe 5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5"/>
            <spPr>
              <a:solidFill xmlns:a="http://schemas.openxmlformats.org/drawingml/2006/main">
                <a:srgbClr val="1F5FA8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'Calculs'!$S$112:$S$127</f>
            </numRef>
          </yVal>
          <smooth val="0"/>
        </ser>
        <ser>
          <idx val="6"/>
          <order val="6"/>
          <tx>
            <strRef>
              <f>Calculs!$G$130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7"/>
            <spPr>
              <a:solidFill xmlns:a="http://schemas.openxmlformats.org/drawingml/2006/main">
                <a:srgbClr val="E0457B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1000" b="1">
                    <a:solidFill>
                      <a:srgbClr val="B8285E"/>
                    </a:solidFill>
                  </a:defRPr>
                </a:pPr>
                <a:r>
                  <a:t/>
                </a:r>
                <a:endParaRPr sz="1000" b="1">
                  <a:solidFill>
                    <a:srgbClr val="B8285E"/>
                  </a:solidFill>
                </a:endParaRPr>
              </a:p>
            </txPr>
            <dLblPos val="r"/>
            <showLegendKey val="0"/>
            <showVal val="0"/>
            <showCatName val="0"/>
            <showSerName val="1"/>
            <showPercent val="0"/>
          </dLbls>
          <xVal>
            <numRef>
              <f>'Calculs'!$F$132</f>
            </numRef>
          </xVal>
          <yVal>
            <numRef>
              <f>'Calculs'!$F$133</f>
            </numRef>
          </yVal>
          <smooth val="0"/>
        </ser>
        <axId val="10"/>
        <axId val="20"/>
      </scatterChart>
      <valAx>
        <axId val="10"/>
        <scaling>
          <orientation val="minMax"/>
          <max val="1330.163533364547"/>
          <min val="1000"/>
        </scaling>
        <delete val="1"/>
        <axPos val="l"/>
        <majorTickMark val="none"/>
        <minorTickMark val="none"/>
        <crossAx val="20"/>
      </valAx>
      <valAx>
        <axId val="20"/>
        <scaling>
          <orientation val="minMax"/>
          <max val="1226.898672681646"/>
          <min val="1000"/>
        </scaling>
        <delete val="1"/>
        <axPos val="l"/>
        <majorTickMark val="none"/>
        <minorTickMark val="none"/>
        <crossAx val="10"/>
      </valAx>
      <spPr>
        <a:solidFill xmlns:a="http://schemas.openxmlformats.org/drawingml/2006/main">
          <a:srgbClr val="FFFFFF"/>
        </a:solidFill>
        <a:ln xmlns:a="http://schemas.openxmlformats.org/drawingml/2006/main">
          <a:prstDash val="solid"/>
        </a:ln>
      </spPr>
    </plotArea>
    <plotVisOnly val="1"/>
    <dispBlanksAs val="gap"/>
  </chart>
</chartSpace>
</file>

<file path=xl/charts/chart8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Prairies et Colombie-Britannique</a:t>
            </a:r>
          </a:p>
        </rich>
      </tx>
      <overlay val="0"/>
    </title>
    <plotArea>
      <scatterChart>
        <scatterStyle val="lineMarker"/>
        <ser>
          <idx val="0"/>
          <order val="0"/>
          <tx>
            <v>Contours</v>
          </tx>
          <spPr>
            <a:ln xmlns:a="http://schemas.openxmlformats.org/drawingml/2006/main" w="9525">
              <a:solidFill>
                <a:srgbClr val="9FB2C8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xVal>
            <numRef>
              <f>'Calculs'!$AP$5:$AP$352</f>
            </numRef>
          </xVal>
          <yVal>
            <numRef>
              <f>'Calculs'!$AQ$5:$AQ$352</f>
            </numRef>
          </yVal>
          <smooth val="0"/>
        </ser>
        <ser>
          <idx val="1"/>
          <order val="1"/>
          <tx>
            <v>Classe 1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7"/>
            <spPr>
              <a:solidFill xmlns:a="http://schemas.openxmlformats.org/drawingml/2006/main">
                <a:srgbClr val="CFE6FA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'Calculs'!$T$112:$T$127</f>
            </numRef>
          </yVal>
          <smooth val="0"/>
        </ser>
        <ser>
          <idx val="2"/>
          <order val="2"/>
          <tx>
            <v>Classe 2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9"/>
            <spPr>
              <a:solidFill xmlns:a="http://schemas.openxmlformats.org/drawingml/2006/main">
                <a:srgbClr val="9CCBF2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'Calculs'!$U$112:$U$127</f>
            </numRef>
          </yVal>
          <smooth val="0"/>
        </ser>
        <ser>
          <idx val="3"/>
          <order val="3"/>
          <tx>
            <v>Classe 3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1"/>
            <spPr>
              <a:solidFill xmlns:a="http://schemas.openxmlformats.org/drawingml/2006/main">
                <a:srgbClr val="5FA8E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'Calculs'!$V$112:$V$127</f>
            </numRef>
          </yVal>
          <smooth val="0"/>
        </ser>
        <ser>
          <idx val="4"/>
          <order val="4"/>
          <tx>
            <v>Classe 4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3"/>
            <spPr>
              <a:solidFill xmlns:a="http://schemas.openxmlformats.org/drawingml/2006/main">
                <a:srgbClr val="2F86D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'Calculs'!$W$112:$W$127</f>
            </numRef>
          </yVal>
          <smooth val="0"/>
        </ser>
        <ser>
          <idx val="5"/>
          <order val="5"/>
          <tx>
            <v>Classe 5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5"/>
            <spPr>
              <a:solidFill xmlns:a="http://schemas.openxmlformats.org/drawingml/2006/main">
                <a:srgbClr val="1F5FA8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'Calculs'!$X$112:$X$127</f>
            </numRef>
          </yVal>
          <smooth val="0"/>
        </ser>
        <ser>
          <idx val="6"/>
          <order val="6"/>
          <tx>
            <strRef>
              <f>Calculs!$G$130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7"/>
            <spPr>
              <a:solidFill xmlns:a="http://schemas.openxmlformats.org/drawingml/2006/main">
                <a:srgbClr val="E0457B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1000" b="1">
                    <a:solidFill>
                      <a:srgbClr val="B8285E"/>
                    </a:solidFill>
                  </a:defRPr>
                </a:pPr>
                <a:r>
                  <a:t/>
                </a:r>
                <a:endParaRPr sz="1000" b="1">
                  <a:solidFill>
                    <a:srgbClr val="B8285E"/>
                  </a:solidFill>
                </a:endParaRPr>
              </a:p>
            </txPr>
            <dLblPos val="r"/>
            <showLegendKey val="0"/>
            <showVal val="0"/>
            <showCatName val="0"/>
            <showSerName val="1"/>
            <showPercent val="0"/>
          </dLbls>
          <xVal>
            <numRef>
              <f>'Calculs'!$F$134</f>
            </numRef>
          </xVal>
          <yVal>
            <numRef>
              <f>'Calculs'!$F$135</f>
            </numRef>
          </yVal>
          <smooth val="0"/>
        </ser>
        <axId val="10"/>
        <axId val="20"/>
      </scatterChart>
      <valAx>
        <axId val="10"/>
        <scaling>
          <orientation val="minMax"/>
          <max val="1340.207403790351"/>
          <min val="1000"/>
        </scaling>
        <delete val="1"/>
        <axPos val="l"/>
        <majorTickMark val="none"/>
        <minorTickMark val="none"/>
        <crossAx val="20"/>
      </valAx>
      <valAx>
        <axId val="20"/>
        <scaling>
          <orientation val="minMax"/>
          <max val="1199.749080446535"/>
          <min val="1000"/>
        </scaling>
        <delete val="1"/>
        <axPos val="l"/>
        <majorTickMark val="none"/>
        <minorTickMark val="none"/>
        <crossAx val="10"/>
      </valAx>
      <spPr>
        <a:solidFill xmlns:a="http://schemas.openxmlformats.org/drawingml/2006/main">
          <a:srgbClr val="FFFFFF"/>
        </a:solidFill>
        <a:ln xmlns:a="http://schemas.openxmlformats.org/drawingml/2006/main">
          <a:prstDash val="solid"/>
        </a:ln>
      </spPr>
    </plotArea>
    <plotVisOnly val="1"/>
    <dispBlanksAs val="gap"/>
  </chart>
</chartSpace>
</file>

<file path=xl/charts/chart9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Ville choisie : loyer demandé et loyer payé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'Calculs'!B150</f>
            </strRef>
          </tx>
          <spPr>
            <a:ln xmlns:a="http://schemas.openxmlformats.org/drawingml/2006/main" w="31750">
              <a:solidFill>
                <a:srgbClr val="E0457B"/>
              </a:solidFill>
              <a:prstDash val="solid"/>
            </a:ln>
          </spPr>
          <marker>
            <symbol val="circle"/>
            <size val="6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'Calculs'!$A$151:$A$154</f>
            </numRef>
          </cat>
          <val>
            <numRef>
              <f>'Calculs'!$B$151:$B$154</f>
            </numRef>
          </val>
          <smooth val="0"/>
        </ser>
        <ser>
          <idx val="1"/>
          <order val="1"/>
          <tx>
            <strRef>
              <f>'Calculs'!C150</f>
            </strRef>
          </tx>
          <spPr>
            <a:ln xmlns:a="http://schemas.openxmlformats.org/drawingml/2006/main" w="31750">
              <a:solidFill>
                <a:srgbClr val="2F86D6"/>
              </a:solidFill>
              <a:prstDash val="solid"/>
            </a:ln>
          </spPr>
          <marker>
            <symbol val="circle"/>
            <size val="6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'Calculs'!$A$151:$A$154</f>
            </numRef>
          </cat>
          <val>
            <numRef>
              <f>'Calculs'!$C$151:$C$154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#,##0 &quot;$&quot;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10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Loyer moyen d'un 2 chambres : historique et scénarios jusqu'en 2030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'Calculs'!B57</f>
            </strRef>
          </tx>
          <spPr>
            <a:ln xmlns:a="http://schemas.openxmlformats.org/drawingml/2006/main" w="38100">
              <a:solidFill>
                <a:srgbClr val="2F86D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'Calculs'!$B$58:$B$73</f>
            </numRef>
          </val>
          <smooth val="0"/>
        </ser>
        <ser>
          <idx val="1"/>
          <order val="1"/>
          <tx>
            <strRef>
              <f>'Calculs'!C57</f>
            </strRef>
          </tx>
          <spPr>
            <a:ln xmlns:a="http://schemas.openxmlformats.org/drawingml/2006/main" w="22225">
              <a:solidFill>
                <a:srgbClr val="A9B6C6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'Calculs'!$C$58:$C$73</f>
            </numRef>
          </val>
          <smooth val="0"/>
        </ser>
        <ser>
          <idx val="2"/>
          <order val="2"/>
          <tx>
            <strRef>
              <f>'Calculs'!D57</f>
            </strRef>
          </tx>
          <spPr>
            <a:ln xmlns:a="http://schemas.openxmlformats.org/drawingml/2006/main" w="22225">
              <a:solidFill>
                <a:srgbClr val="F2876B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'Calculs'!$D$58:$D$73</f>
            </numRef>
          </val>
          <smooth val="0"/>
        </ser>
        <ser>
          <idx val="3"/>
          <order val="3"/>
          <tx>
            <strRef>
              <f>'Calculs'!E57</f>
            </strRef>
          </tx>
          <spPr>
            <a:ln xmlns:a="http://schemas.openxmlformats.org/drawingml/2006/main" w="22225">
              <a:solidFill>
                <a:srgbClr val="E0457B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'Calculs'!$E$58:$E$73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#,##0 &quot;$&quot;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11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Ton loyer comparé au marché (2025)</a:t>
            </a:r>
          </a:p>
        </rich>
      </tx>
      <overlay val="0"/>
    </title>
    <plotArea>
      <barChart>
        <barDir val="bar"/>
        <grouping val="clustered"/>
        <ser>
          <idx val="0"/>
          <order val="0"/>
          <spPr>
            <a:solidFill xmlns:a="http://schemas.openxmlformats.org/drawingml/2006/main">
              <a:srgbClr val="2F86D6"/>
            </a:solidFill>
            <a:ln xmlns:a="http://schemas.openxmlformats.org/drawingml/2006/main">
              <a:solidFill>
                <a:srgbClr val="2F86D6"/>
              </a:solidFill>
              <a:prstDash val="solid"/>
            </a:ln>
          </spPr>
          <dLbls>
            <showLegendKey val="0"/>
            <showVal val="1"/>
            <showCatName val="0"/>
            <showSerName val="0"/>
            <showPercent val="0"/>
          </dLbls>
          <cat>
            <numRef>
              <f>'Simulateur'!$F$5:$F$7</f>
            </numRef>
          </cat>
          <val>
            <numRef>
              <f>'Simulateur'!$G$5:$G$7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#,##0 &quot;$&quot;" sourceLinked="0"/>
        <majorTickMark val="none"/>
        <minorTickMark val="none"/>
        <crossAx val="10"/>
      </valAx>
    </plotArea>
    <plotVisOnly val="1"/>
    <dispBlanksAs val="gap"/>
  </chart>
</chartSpace>
</file>

<file path=xl/comments/comment1.xml><?xml version="1.0" encoding="utf-8"?>
<comments xmlns="http://schemas.openxmlformats.org/spreadsheetml/2006/main">
  <authors>
    <author>Projet Loyers Montréal</author>
  </authors>
  <commentList>
    <comment ref="C19" authorId="0" shapeId="0">
      <text>
        <t>SCHL, Rapport sur le marché locatif 2025, figure 1. Publié pour les 2 chambres seulement.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chart" Target="/xl/charts/chart4.xml" Id="rId4"/></Relationships>
</file>

<file path=xl/drawings/_rels/drawing2.xml.rels><Relationships xmlns="http://schemas.openxmlformats.org/package/2006/relationships"><Relationship Type="http://schemas.openxmlformats.org/officeDocument/2006/relationships/chart" Target="/xl/charts/chart5.xml" Id="rId1"/><Relationship Type="http://schemas.openxmlformats.org/officeDocument/2006/relationships/chart" Target="/xl/charts/chart6.xml" Id="rId2"/></Relationships>
</file>

<file path=xl/drawings/_rels/drawing3.xml.rels><Relationships xmlns="http://schemas.openxmlformats.org/package/2006/relationships"><Relationship Type="http://schemas.openxmlformats.org/officeDocument/2006/relationships/chart" Target="/xl/charts/chart7.xml" Id="rId1"/><Relationship Type="http://schemas.openxmlformats.org/officeDocument/2006/relationships/chart" Target="/xl/charts/chart8.xml" Id="rId2"/><Relationship Type="http://schemas.openxmlformats.org/officeDocument/2006/relationships/chart" Target="/xl/charts/chart9.xml" Id="rId3"/></Relationships>
</file>

<file path=xl/drawings/_rels/drawing4.xml.rels><Relationships xmlns="http://schemas.openxmlformats.org/package/2006/relationships"><Relationship Type="http://schemas.openxmlformats.org/officeDocument/2006/relationships/chart" Target="/xl/charts/chart10.xml" Id="rId1"/></Relationships>
</file>

<file path=xl/drawings/_rels/drawing5.xml.rels><Relationships xmlns="http://schemas.openxmlformats.org/package/2006/relationships"><Relationship Type="http://schemas.openxmlformats.org/officeDocument/2006/relationships/chart" Target="/xl/charts/chart11.xml" Id="rId1"/></Relationships>
</file>

<file path=xl/drawings/drawing1.xml><?xml version="1.0" encoding="utf-8"?>
<wsDr xmlns="http://schemas.openxmlformats.org/drawingml/2006/spreadsheetDrawing">
  <oneCellAnchor>
    <from>
      <col>1</col>
      <colOff>0</colOff>
      <row>12</row>
      <rowOff>0</rowOff>
    </from>
    <ext cx="4824000" cy="2951999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12</row>
      <rowOff>0</rowOff>
    </from>
    <ext cx="4824000" cy="2951999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0</colOff>
      <row>30</row>
      <rowOff>0</rowOff>
    </from>
    <ext cx="4824000" cy="2951999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7</col>
      <colOff>0</colOff>
      <row>30</row>
      <rowOff>0</rowOff>
    </from>
    <ext cx="4824000" cy="2951999"/>
    <graphicFrame>
      <nvGraphicFramePr>
        <cNvPr id="4" name="Chart 4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1</col>
      <colOff>0</colOff>
      <row>7</row>
      <rowOff>0</rowOff>
    </from>
    <ext cx="6696000" cy="402789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11</col>
      <colOff>0</colOff>
      <row>30</row>
      <rowOff>0</rowOff>
    </from>
    <ext cx="4680000" cy="234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drawings/drawing3.xml><?xml version="1.0" encoding="utf-8"?>
<wsDr xmlns="http://schemas.openxmlformats.org/drawingml/2006/spreadsheetDrawing">
  <oneCellAnchor>
    <from>
      <col>1</col>
      <colOff>0</colOff>
      <row>7</row>
      <rowOff>0</rowOff>
    </from>
    <ext cx="6263999" cy="4805376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</col>
      <colOff>0</colOff>
      <row>34</row>
      <rowOff>0</rowOff>
    </from>
    <ext cx="6263999" cy="4105495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11</col>
      <colOff>0</colOff>
      <row>37</row>
      <rowOff>0</rowOff>
    </from>
    <ext cx="4680000" cy="25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drawings/drawing4.xml><?xml version="1.0" encoding="utf-8"?>
<wsDr xmlns="http://schemas.openxmlformats.org/drawingml/2006/spreadsheetDrawing">
  <oneCellAnchor>
    <from>
      <col>9</col>
      <colOff>0</colOff>
      <row>4</row>
      <rowOff>0</rowOff>
    </from>
    <ext cx="6120000" cy="34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5.xml><?xml version="1.0" encoding="utf-8"?>
<wsDr xmlns="http://schemas.openxmlformats.org/drawingml/2006/spreadsheetDrawing">
  <oneCellAnchor>
    <from>
      <col>5</col>
      <colOff>0</colOff>
      <row>8</row>
      <rowOff>0</rowOff>
    </from>
    <ext cx="4500000" cy="23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ables/table1.xml><?xml version="1.0" encoding="utf-8"?>
<table xmlns="http://schemas.openxmlformats.org/spreadsheetml/2006/main" id="1" name="tbl_loyers" displayName="tbl_loyers" ref="B5:D141" headerRowCount="1">
  <autoFilter ref="B5:D141"/>
  <tableColumns count="3">
    <tableColumn id="2" name="Année"/>
    <tableColumn id="3" name="Type de logement"/>
    <tableColumn id="4" name="Loyer moyen ($/mois)"/>
  </tableColumns>
  <tableStyleInfo name="TableStyleLight9" showRowStripes="1"/>
</table>
</file>

<file path=xl/tables/table2.xml><?xml version="1.0" encoding="utf-8"?>
<table xmlns="http://schemas.openxmlformats.org/spreadsheetml/2006/main" id="2" name="tbl_villes" displayName="tbl_villes" ref="B5:H39" headerRowCount="1">
  <autoFilter ref="B5:H39"/>
  <tableColumns count="7">
    <tableColumn id="2" name="Année"/>
    <tableColumn id="3" name="Montréal"/>
    <tableColumn id="4" name="Québec"/>
    <tableColumn id="5" name="Ottawa-Gatineau"/>
    <tableColumn id="6" name="Toronto"/>
    <tableColumn id="7" name="Calgary"/>
    <tableColumn id="8" name="Vancouver"/>
  </tableColumns>
  <tableStyleInfo name="TableStyleLight9" showRowStripes="1"/>
</table>
</file>

<file path=xl/tables/table3.xml><?xml version="1.0" encoding="utf-8"?>
<table xmlns="http://schemas.openxmlformats.org/spreadsheetml/2006/main" id="3" name="tbl_ipc" displayName="tbl_ipc" ref="B5:C39" headerRowCount="1">
  <autoFilter ref="B5:C39"/>
  <tableColumns count="2">
    <tableColumn id="2" name="Année"/>
    <tableColumn id="3" name="IPC d'ensemble (2002 = 100)"/>
  </tableColumns>
  <tableStyleInfo name="TableStyleLight9" showRowStripes="1"/>
</table>
</file>

<file path=xl/tables/table4.xml><?xml version="1.0" encoding="utf-8"?>
<table xmlns="http://schemas.openxmlformats.org/spreadsheetml/2006/main" id="4" name="tbl_ipc_provinces" displayName="tbl_ipc_provinces" ref="B5:F82" headerRowCount="1">
  <autoFilter ref="B5:F82"/>
  <tableColumns count="5">
    <tableColumn id="2" name="Année"/>
    <tableColumn id="3" name="Code"/>
    <tableColumn id="4" name="Province"/>
    <tableColumn id="5" name="IPC du loyer"/>
    <tableColumn id="6" name="IPC d'ensemble"/>
  </tableColumns>
  <tableStyleInfo name="TableStyleLight9" showRowStripes="1"/>
</table>
</file>

<file path=xl/tables/table5.xml><?xml version="1.0" encoding="utf-8"?>
<table xmlns="http://schemas.openxmlformats.org/spreadsheetml/2006/main" id="5" name="tbl_trimestriel" displayName="tbl_trimestriel" ref="B5:G133" headerRowCount="1">
  <autoFilter ref="B5:G133"/>
  <tableColumns count="6">
    <tableColumn id="2" name="Trimestre"/>
    <tableColumn id="3" name="ID"/>
    <tableColumn id="4" name="Région métropolitaine"/>
    <tableColumn id="5" name="Estimation"/>
    <tableColumn id="6" name="Loyer ($)"/>
    <tableColumn id="7" name="Fiabilité"/>
  </tableColumns>
  <tableStyleInfo name="TableStyleLight9" showRowStripes="1"/>
</table>
</file>

<file path=xl/tables/table6.xml><?xml version="1.0" encoding="utf-8"?>
<table xmlns="http://schemas.openxmlformats.org/spreadsheetml/2006/main" id="6" name="tbl_schl" displayName="tbl_schl" ref="B5:E15" headerRowCount="1">
  <autoFilter ref="B5:E15"/>
  <tableColumns count="4">
    <tableColumn id="2" name="Année"/>
    <tableColumn id="3" name="Indicateur"/>
    <tableColumn id="4" name="Valeur"/>
    <tableColumn id="5" name="Unité"/>
  </tableColumns>
  <tableStyleInfo name="TableStyleLight9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4.xml" Id="rId1"/></Relationships>
</file>

<file path=xl/worksheets/_rels/sheet6.xml.rels><Relationships xmlns="http://schemas.openxmlformats.org/package/2006/relationships"><Relationship Type="http://schemas.openxmlformats.org/officeDocument/2006/relationships/drawing" Target="/xl/drawings/drawing5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9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10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11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12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13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_rels/sheet14.xml.rels><Relationships xmlns="http://schemas.openxmlformats.org/package/2006/relationships"><Relationship Type="http://schemas.openxmlformats.org/officeDocument/2006/relationships/table" Target="/xl/tables/table6.xml" Id="rId1"/></Relationships>
</file>

<file path=xl/worksheets/sheet1.xml><?xml version="1.0" encoding="utf-8"?>
<worksheet xmlns="http://schemas.openxmlformats.org/spreadsheetml/2006/main">
  <sheetPr>
    <tabColor rgb="00E0457B"/>
    <outlinePr summaryBelow="1" summaryRight="1"/>
    <pageSetUpPr fitToPage="1"/>
  </sheetPr>
  <dimension ref="A1:N42"/>
  <sheetViews>
    <sheetView showGridLines="0" tabSelected="1" zoomScale="90" workbookViewId="0">
      <selection activeCell="A1" sqref="A1"/>
    </sheetView>
  </sheetViews>
  <sheetFormatPr baseColWidth="8" defaultRowHeight="15"/>
  <cols>
    <col width="2" customWidth="1" min="1" max="1"/>
    <col width="11.5" customWidth="1" min="2" max="2"/>
    <col width="11.5" customWidth="1" min="3" max="3"/>
    <col width="11.5" customWidth="1" min="4" max="4"/>
    <col width="11.5" customWidth="1" min="5" max="5"/>
    <col width="11.5" customWidth="1" min="6" max="6"/>
    <col width="11.5" customWidth="1" min="7" max="7"/>
    <col width="11.5" customWidth="1" min="8" max="8"/>
    <col width="11.5" customWidth="1" min="9" max="9"/>
    <col width="11.5" customWidth="1" min="10" max="10"/>
    <col width="11.5" customWidth="1" min="11" max="11"/>
    <col width="11.5" customWidth="1" min="12" max="12"/>
    <col width="11.5" customWidth="1" min="13" max="13"/>
    <col width="11.5" customWidth="1" min="14" max="14"/>
  </cols>
  <sheetData>
    <row r="1" ht="44" customHeight="1">
      <c r="A1" s="1" t="n"/>
      <c r="B1" s="2" t="inlineStr">
        <is>
          <t>À Montréal, qui paie vraiment la hausse des loyers 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</row>
    <row r="2" ht="20" customHeight="1">
      <c r="A2" s="1" t="n"/>
      <c r="B2" s="3" t="inlineStr">
        <is>
          <t>Classeur d'analyse · Projet « Loyers à Montréal, 1992-2026 »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5" t="n"/>
      <c r="J3" s="5" t="n"/>
      <c r="K3" s="5" t="n"/>
      <c r="L3" s="5" t="n"/>
      <c r="M3" s="5" t="n"/>
      <c r="N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</row>
    <row r="5">
      <c r="A5" s="6" t="n"/>
      <c r="B5" s="7" t="inlineStr">
        <is>
          <t>Réponse courte : ceux qui déménagent. Les quatre chiffres ci-dessous sont recalculés par les formules du classeur.</t>
        </is>
      </c>
      <c r="N5" s="6" t="n"/>
    </row>
    <row r="6">
      <c r="A6" s="6" t="n"/>
      <c r="B6" s="6" t="n"/>
      <c r="C6" s="6" t="n"/>
      <c r="D6" s="6" t="n"/>
      <c r="E6" s="6" t="n"/>
      <c r="F6" s="6" t="n"/>
      <c r="G6" s="6" t="n"/>
      <c r="H6" s="6" t="n"/>
      <c r="I6" s="6" t="n"/>
      <c r="J6" s="6" t="n"/>
      <c r="K6" s="6" t="n"/>
      <c r="L6" s="6" t="n"/>
      <c r="M6" s="6" t="n"/>
      <c r="N6" s="6" t="n"/>
    </row>
    <row r="7" ht="20" customHeight="1">
      <c r="A7" s="6" t="n"/>
      <c r="B7" s="8" t="inlineStr">
        <is>
          <t>ANNONCE MOINS LOYER PAYÉ, 2026 T2</t>
        </is>
      </c>
      <c r="C7" s="9" t="n"/>
      <c r="D7" s="10" t="n"/>
      <c r="E7" s="11" t="inlineStr">
        <is>
          <t>HAUSSE 2025 : RELOUÉS / EN PLACE</t>
        </is>
      </c>
      <c r="F7" s="12" t="n"/>
      <c r="G7" s="13" t="n"/>
      <c r="H7" s="14" t="inlineStr">
        <is>
          <t>HAUSSE RÉELLE D'UN 2 CH., 2019-2025</t>
        </is>
      </c>
      <c r="I7" s="15" t="n"/>
      <c r="J7" s="16" t="n"/>
      <c r="K7" s="14" t="inlineStr">
        <is>
          <t>LOYER AU QUÉBEC EN 2025 (IPC)</t>
        </is>
      </c>
      <c r="L7" s="15" t="n"/>
      <c r="M7" s="16" t="n"/>
      <c r="N7" s="6" t="n"/>
    </row>
    <row r="8">
      <c r="A8" s="6" t="n"/>
      <c r="B8" s="17">
        <f>SUMIFS(T_Loyer,T_ID,7,T_Est,"Demandé",T_Periode,"2026 T2")-SUMIFS(T_Loyer,T_ID,7,T_Est,"Payé",T_Periode,"2026 T2")</f>
        <v/>
      </c>
      <c r="D8" s="18" t="n"/>
      <c r="E8" s="19">
        <f>SUMIFS(SCHL_Valeur,SCHL_Annee,2025,SCHL_Indic,"hausse_loyer_reloues_2ch")/100</f>
        <v/>
      </c>
      <c r="G8" s="18" t="n"/>
      <c r="H8" s="20">
        <f>(SUMIFS(Loyers_Montant,Loyers_Annee,2025,Loyers_Type,"2 chambres")/SUMIFS(Loyers_Montant,Loyers_Annee,2019,Loyers_Type,"2 chambres"))/(INDEX(IPC_Valeur,MATCH(2025,IPC_Annee,0))/INDEX(IPC_Valeur,MATCH(2019,IPC_Annee,0)))-1</f>
        <v/>
      </c>
      <c r="J8" s="18" t="n"/>
      <c r="K8" s="20">
        <f>QC_Hausse_2025</f>
        <v/>
      </c>
      <c r="M8" s="18" t="n"/>
      <c r="N8" s="6" t="n"/>
    </row>
    <row r="9">
      <c r="A9" s="6" t="n"/>
      <c r="B9" s="21" t="n"/>
      <c r="D9" s="18" t="n"/>
      <c r="E9" s="21" t="n"/>
      <c r="G9" s="18" t="n"/>
      <c r="H9" s="21" t="n"/>
      <c r="J9" s="18" t="n"/>
      <c r="K9" s="21" t="n"/>
      <c r="M9" s="18" t="n"/>
      <c r="N9" s="6" t="n"/>
    </row>
    <row r="10" ht="18" customHeight="1">
      <c r="A10" s="6" t="n"/>
      <c r="B10" s="22" t="inlineStr">
        <is>
          <t>Par mois, 2 chambres à Montréal</t>
        </is>
      </c>
      <c r="C10" s="23" t="n"/>
      <c r="D10" s="24" t="n"/>
      <c r="E10" s="22">
        <f>"contre "&amp;FIXED(SUMIFS(SCHL_Valeur,SCHL_Annee,2025,SCHL_Indic,"hausse_loyer_non_reloues_2ch"),1)&amp;" % pour les locataires en place"</f>
        <v/>
      </c>
      <c r="F10" s="23" t="n"/>
      <c r="G10" s="24" t="n"/>
      <c r="H10" s="22">
        <f>"Après inflation. De 1992 à 2019 : "&amp;IF(((SUMIFS(Loyers_Montant,Loyers_Annee,2019,Loyers_Type,"2 chambres")/SUMIFS(Loyers_Montant,Loyers_Annee,1992,Loyers_Type,"2 chambres"))/(INDEX(IPC_Valeur,MATCH(2019,IPC_Annee,0))/INDEX(IPC_Valeur,MATCH(1992,IPC_Annee,0)))-1)&gt;=0,"+","")&amp;FIXED(((SUMIFS(Loyers_Montant,Loyers_Annee,2019,Loyers_Type,"2 chambres")/SUMIFS(Loyers_Montant,Loyers_Annee,1992,Loyers_Type,"2 chambres"))/(INDEX(IPC_Valeur,MATCH(2019,IPC_Annee,0))/INDEX(IPC_Valeur,MATCH(1992,IPC_Annee,0)))-1)*100,1)&amp;" %"</f>
        <v/>
      </c>
      <c r="I10" s="23" t="n"/>
      <c r="J10" s="24" t="n"/>
      <c r="K10" s="22">
        <f>"Rang "&amp;QC_Rang_2025&amp;" sur 10 provinces"</f>
        <v/>
      </c>
      <c r="L10" s="23" t="n"/>
      <c r="M10" s="24" t="n"/>
      <c r="N10" s="6" t="n"/>
    </row>
    <row r="11">
      <c r="A11" s="6" t="n"/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  <c r="K11" s="6" t="n"/>
      <c r="L11" s="6" t="n"/>
      <c r="M11" s="6" t="n"/>
      <c r="N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6" t="n"/>
      <c r="M12" s="6" t="n"/>
      <c r="N12" s="6" t="n"/>
    </row>
    <row r="13">
      <c r="A13" s="6" t="n"/>
      <c r="B13" s="25" t="inlineStr">
        <is>
          <t>Explorer le classeur</t>
        </is>
      </c>
      <c r="N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N14" s="6" t="n"/>
    </row>
    <row r="15" ht="24" customHeight="1">
      <c r="A15" s="6" t="n"/>
      <c r="B15" s="26">
        <f>HYPERLINK("#'Tableau de bord'!A1","Tableau de bord")</f>
        <v/>
      </c>
      <c r="C15" s="27" t="n"/>
      <c r="D15" s="27" t="n"/>
      <c r="E15" s="28" t="inlineStr">
        <is>
          <t>Choisis une période et un type de logement : indicateurs et graphiques se recalculent.</t>
        </is>
      </c>
      <c r="N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</row>
    <row r="17" ht="24" customHeight="1">
      <c r="A17" s="6" t="n"/>
      <c r="B17" s="26">
        <f>HYPERLINK("#'Carte provinces'!A1","Carte provinces")</f>
        <v/>
      </c>
      <c r="C17" s="27" t="n"/>
      <c r="D17" s="27" t="n"/>
      <c r="E17" s="28" t="inlineStr">
        <is>
          <t>La carte du Canada : hausse des loyers par province, par année, avec classement.</t>
        </is>
      </c>
      <c r="N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6" t="n"/>
      <c r="M18" s="6" t="n"/>
      <c r="N18" s="6" t="n"/>
    </row>
    <row r="19" ht="24" customHeight="1">
      <c r="A19" s="6" t="n"/>
      <c r="B19" s="26">
        <f>HYPERLINK("#'Carte villes'!A1","Carte villes")</f>
        <v/>
      </c>
      <c r="C19" s="27" t="n"/>
      <c r="D19" s="27" t="n"/>
      <c r="E19" s="28" t="inlineStr">
        <is>
          <t>Les 16 régions où l'on connaît le loyer demandé et le loyer payé. Choisis une ville.</t>
        </is>
      </c>
      <c r="N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6" t="n"/>
      <c r="M20" s="6" t="n"/>
      <c r="N20" s="6" t="n"/>
    </row>
    <row r="21" ht="24" customHeight="1">
      <c r="A21" s="6" t="n"/>
      <c r="B21" s="26">
        <f>HYPERLINK("#'Scénarios'!A1","Scénarios")</f>
        <v/>
      </c>
      <c r="C21" s="27" t="n"/>
      <c r="D21" s="27" t="n"/>
      <c r="E21" s="28" t="inlineStr">
        <is>
          <t>Trois hypothèses jusqu'en 2030 et le délai pour que le loyer moyen rattrape les annonces.</t>
        </is>
      </c>
      <c r="N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" t="n"/>
      <c r="M22" s="6" t="n"/>
      <c r="N22" s="6" t="n"/>
    </row>
    <row r="23" ht="24" customHeight="1">
      <c r="A23" s="6" t="n"/>
      <c r="B23" s="26">
        <f>HYPERLINK("#'Simulateur'!A1","Simulateur")</f>
        <v/>
      </c>
      <c r="C23" s="27" t="n"/>
      <c r="D23" s="27" t="n"/>
      <c r="E23" s="28" t="inlineStr">
        <is>
          <t>Compare un loyer à la moyenne du marché et au prix d'un logement reloué.</t>
        </is>
      </c>
      <c r="N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</row>
    <row r="25" ht="24" customHeight="1">
      <c r="A25" s="6" t="n"/>
      <c r="B25" s="26">
        <f>HYPERLINK("#'Excel 365'!A1","Excel 365")</f>
        <v/>
      </c>
      <c r="C25" s="27" t="n"/>
      <c r="D25" s="27" t="n"/>
      <c r="E25" s="28" t="inlineStr">
        <is>
          <t>Un portefeuille de logements lu avec RECHERCHEX, LET, FILTRE, TRIER et UNIQUE (Excel 2021 ou 365).</t>
        </is>
      </c>
      <c r="N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</row>
    <row r="27" ht="24" customHeight="1">
      <c r="A27" s="6" t="n"/>
      <c r="B27" s="26">
        <f>HYPERLINK("#'Mode d'emploi'!A1","Mode d'emploi")</f>
        <v/>
      </c>
      <c r="C27" s="27" t="n"/>
      <c r="D27" s="27" t="n"/>
      <c r="E27" s="28" t="inlineStr">
        <is>
          <t>Chaque fonction du classeur, de la plus simple à la plus avancée, et trois exercices.</t>
        </is>
      </c>
      <c r="N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</row>
    <row r="30">
      <c r="A30" s="6" t="n"/>
      <c r="B30" s="25" t="inlineStr">
        <is>
          <t>Méthode</t>
        </is>
      </c>
      <c r="N30" s="6" t="n"/>
    </row>
    <row r="31">
      <c r="A31" s="6" t="n"/>
      <c r="B31" s="29" t="inlineStr">
        <is>
          <t>• Sources : Statistique Canada (34-10-0133-01, 18-10-0005-01, 46-10-0092-01) et SCHL, Rapport sur le marché locatif 2025.</t>
        </is>
      </c>
      <c r="N31" s="6" t="n"/>
    </row>
    <row r="32">
      <c r="A32" s="6" t="n"/>
      <c r="B32" s="29" t="inlineStr">
        <is>
          <t>• Dernières données : enquête SCHL d'octobre 2025, loyers demandés et payés de 2026 T2, IPC annuel 2025.</t>
        </is>
      </c>
      <c r="N32" s="6" t="n"/>
    </row>
    <row r="33">
      <c r="A33" s="6" t="n"/>
      <c r="B33" s="29" t="inlineStr">
        <is>
          <t>• Chaque chiffre est recalculé ici par formules et vérifié contre la base SQL du projet à chaque construction.</t>
        </is>
      </c>
      <c r="N33" s="6" t="n"/>
    </row>
    <row r="34">
      <c r="A34" s="6" t="n"/>
      <c r="B34" s="29" t="inlineStr">
        <is>
          <t>• Cases jaunes : entrées. Texte bleu : donnée source. Vert : valeur lue dans une autre feuille. Noir : calcul. Aucune macro.</t>
        </is>
      </c>
      <c r="N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</row>
  </sheetData>
  <mergeCells count="33">
    <mergeCell ref="E10:G10"/>
    <mergeCell ref="E19:M19"/>
    <mergeCell ref="B23:D23"/>
    <mergeCell ref="B17:D17"/>
    <mergeCell ref="H8:J9"/>
    <mergeCell ref="B13:M13"/>
    <mergeCell ref="H7:J7"/>
    <mergeCell ref="B10:D10"/>
    <mergeCell ref="E15:M15"/>
    <mergeCell ref="B34:M34"/>
    <mergeCell ref="B19:D19"/>
    <mergeCell ref="E27:M27"/>
    <mergeCell ref="E8:G9"/>
    <mergeCell ref="B15:D15"/>
    <mergeCell ref="B30:M30"/>
    <mergeCell ref="E7:G7"/>
    <mergeCell ref="K7:M7"/>
    <mergeCell ref="B8:D9"/>
    <mergeCell ref="E25:M25"/>
    <mergeCell ref="B33:M33"/>
    <mergeCell ref="K10:M10"/>
    <mergeCell ref="B5:M5"/>
    <mergeCell ref="B32:M32"/>
    <mergeCell ref="E21:M21"/>
    <mergeCell ref="B7:D7"/>
    <mergeCell ref="B25:D25"/>
    <mergeCell ref="H10:J10"/>
    <mergeCell ref="E23:M23"/>
    <mergeCell ref="B31:M31"/>
    <mergeCell ref="B27:D27"/>
    <mergeCell ref="E17:M17"/>
    <mergeCell ref="B21:D21"/>
    <mergeCell ref="K8:M9"/>
  </mergeCells>
  <printOptions horizontalCentered="1"/>
  <pageMargins left="0.3" right="0.3" top="1" bottom="1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tabColor rgb="001F5FA8"/>
    <outlinePr summaryBelow="1" summaryRight="1"/>
    <pageSetUpPr fitToPage="1"/>
  </sheetPr>
  <dimension ref="A1:N50"/>
  <sheetViews>
    <sheetView showGridLines="0" tabSelected="0" zoomScale="9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1.5" customWidth="1" min="2" max="2"/>
    <col width="11.5" customWidth="1" min="3" max="3"/>
    <col width="11.5" customWidth="1" min="4" max="4"/>
    <col width="11.5" customWidth="1" min="5" max="5"/>
    <col width="11.5" customWidth="1" min="6" max="6"/>
    <col width="11.5" customWidth="1" min="7" max="7"/>
    <col width="11.5" customWidth="1" min="8" max="8"/>
    <col width="11.5" customWidth="1" min="9" max="9"/>
    <col width="11.5" customWidth="1" min="10" max="10"/>
    <col width="11.5" customWidth="1" min="11" max="11"/>
    <col width="11.5" customWidth="1" min="12" max="12"/>
    <col width="11.5" customWidth="1" min="13" max="13"/>
    <col width="11.5" customWidth="1" min="14" max="14"/>
  </cols>
  <sheetData>
    <row r="1" ht="34" customHeight="1">
      <c r="A1" s="1" t="n"/>
      <c r="B1" s="30" t="inlineStr">
        <is>
          <t>Tableau de bord : loyers à Montréal, 1992-2025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31">
        <f>HYPERLINK("#'Accueil'!A1","← Accueil")</f>
        <v/>
      </c>
    </row>
    <row r="2" ht="20" customHeight="1">
      <c r="A2" s="1" t="n"/>
      <c r="B2" s="3" t="inlineStr">
        <is>
          <t>Modifie les cases jaunes : les 4 indicateurs et les 4 graphiques se recalculent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5" t="n"/>
      <c r="J3" s="5" t="n"/>
      <c r="K3" s="5" t="n"/>
      <c r="L3" s="5" t="n"/>
      <c r="M3" s="5" t="n"/>
      <c r="N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</row>
    <row r="5" ht="22" customHeight="1">
      <c r="A5" s="6" t="n"/>
      <c r="B5" s="32" t="inlineStr">
        <is>
          <t>Année de début</t>
        </is>
      </c>
      <c r="D5" s="33" t="n">
        <v>2019</v>
      </c>
      <c r="E5" s="34" t="n"/>
      <c r="F5" s="32" t="inlineStr">
        <is>
          <t>Année de fin</t>
        </is>
      </c>
      <c r="H5" s="33" t="n">
        <v>2025</v>
      </c>
      <c r="I5" s="34" t="n"/>
      <c r="J5" s="32" t="inlineStr">
        <is>
          <t>Logement</t>
        </is>
      </c>
      <c r="L5" s="33" t="inlineStr">
        <is>
          <t>2 chambres</t>
        </is>
      </c>
      <c r="M5" s="34" t="n"/>
      <c r="N5" s="6" t="n"/>
    </row>
    <row r="6">
      <c r="A6" s="6" t="n"/>
      <c r="B6" s="35">
        <f>IF(Debut&gt;=Fin,"L'année de début doit précéder l'année de fin.","")</f>
        <v/>
      </c>
      <c r="C6" s="6" t="n"/>
      <c r="D6" s="6" t="n"/>
      <c r="E6" s="6" t="n"/>
      <c r="F6" s="6" t="n"/>
      <c r="G6" s="6" t="n"/>
      <c r="H6" s="6" t="n"/>
      <c r="I6" s="6" t="n"/>
      <c r="J6" s="6" t="n"/>
      <c r="K6" s="6" t="n"/>
      <c r="L6" s="6" t="n"/>
      <c r="M6" s="6" t="n"/>
      <c r="N6" s="6" t="n"/>
    </row>
    <row r="7">
      <c r="A7" s="6" t="n"/>
      <c r="B7" s="6" t="n"/>
      <c r="C7" s="6" t="n"/>
      <c r="D7" s="6" t="n"/>
      <c r="E7" s="6" t="n"/>
      <c r="F7" s="6" t="n"/>
      <c r="G7" s="6" t="n"/>
      <c r="H7" s="6" t="n"/>
      <c r="I7" s="6" t="n"/>
      <c r="J7" s="6" t="n"/>
      <c r="K7" s="6" t="n"/>
      <c r="L7" s="6" t="n"/>
      <c r="M7" s="6" t="n"/>
      <c r="N7" s="6" t="n"/>
    </row>
    <row r="8" ht="20" customHeight="1">
      <c r="A8" s="6" t="n"/>
      <c r="B8" s="14" t="inlineStr">
        <is>
          <t>LOYER MOYEN, ANNÉE DE FIN</t>
        </is>
      </c>
      <c r="C8" s="15" t="n"/>
      <c r="D8" s="16" t="n"/>
      <c r="E8" s="8" t="inlineStr">
        <is>
          <t>HAUSSE RÉELLE (APRÈS INFLATION)</t>
        </is>
      </c>
      <c r="F8" s="9" t="n"/>
      <c r="G8" s="10" t="n"/>
      <c r="H8" s="8" t="inlineStr">
        <is>
          <t>RYTHME ANNUEL RÉEL</t>
        </is>
      </c>
      <c r="I8" s="9" t="n"/>
      <c r="J8" s="10" t="n"/>
      <c r="K8" s="11" t="inlineStr">
        <is>
          <t>PRIME DE RELOCATION 2025 (2 CH.)</t>
        </is>
      </c>
      <c r="L8" s="12" t="n"/>
      <c r="M8" s="13" t="n"/>
      <c r="N8" s="6" t="n"/>
    </row>
    <row r="9">
      <c r="A9" s="6" t="n"/>
      <c r="B9" s="36">
        <f>SUMIFS(Loyers_Montant,Loyers_Annee,Fin,Loyers_Type,TypeLog)</f>
        <v/>
      </c>
      <c r="D9" s="18" t="n"/>
      <c r="E9" s="37">
        <f>(SUMIFS(Loyers_Montant,Loyers_Annee,Fin,Loyers_Type,TypeLog)/SUMIFS(Loyers_Montant,Loyers_Annee,Debut,Loyers_Type,TypeLog))/(INDEX(IPC_Valeur,MATCH(Fin,IPC_Annee,0))/INDEX(IPC_Valeur,MATCH(Debut,IPC_Annee,0)))-1</f>
        <v/>
      </c>
      <c r="G9" s="18" t="n"/>
      <c r="H9" s="37">
        <f>IFERROR((1+E9)^(1/(Fin-Debut))-1,0)</f>
        <v/>
      </c>
      <c r="J9" s="18" t="n"/>
      <c r="K9" s="38">
        <f>SUMIFS(SCHL_Valeur,SCHL_Annee,2025,SCHL_Indic,"loyer_moyen_reloues_2ch")-SUMIFS(Loyers_Montant,Loyers_Annee,2025,Loyers_Type,"2 chambres")</f>
        <v/>
      </c>
      <c r="M9" s="18" t="n"/>
      <c r="N9" s="6" t="n"/>
    </row>
    <row r="10">
      <c r="A10" s="6" t="n"/>
      <c r="B10" s="21" t="n"/>
      <c r="D10" s="18" t="n"/>
      <c r="E10" s="21" t="n"/>
      <c r="G10" s="18" t="n"/>
      <c r="H10" s="21" t="n"/>
      <c r="J10" s="18" t="n"/>
      <c r="K10" s="21" t="n"/>
      <c r="M10" s="18" t="n"/>
      <c r="N10" s="6" t="n"/>
    </row>
    <row r="11" ht="18" customHeight="1">
      <c r="A11" s="6" t="n"/>
      <c r="B11" s="22">
        <f>TypeLog&amp;", octobre "&amp;Fin</f>
        <v/>
      </c>
      <c r="C11" s="23" t="n"/>
      <c r="D11" s="24" t="n"/>
      <c r="E11" s="39" t="inlineStr">
        <is>
          <t>Hausse nominale</t>
        </is>
      </c>
      <c r="F11" s="23" t="n"/>
      <c r="G11" s="40">
        <f>SUMIFS(Loyers_Montant,Loyers_Annee,Fin,Loyers_Type,TypeLog)/SUMIFS(Loyers_Montant,Loyers_Annee,Debut,Loyers_Type,TypeLog)-1</f>
        <v/>
      </c>
      <c r="H11" s="22">
        <f>"Croissance composée sur "&amp;(Fin-Debut)&amp;" ans"</f>
        <v/>
      </c>
      <c r="I11" s="23" t="n"/>
      <c r="J11" s="24" t="n"/>
      <c r="K11" s="39" t="inlineStr">
        <is>
          <t>Loyer d'un 2 ch. reloué</t>
        </is>
      </c>
      <c r="L11" s="23" t="n"/>
      <c r="M11" s="41">
        <f>SUMIFS(SCHL_Valeur,SCHL_Annee,2025,SCHL_Indic,"loyer_moyen_reloues_2ch")</f>
        <v/>
      </c>
      <c r="N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6" t="n"/>
      <c r="M12" s="6" t="n"/>
      <c r="N12" s="6" t="n"/>
    </row>
    <row r="13">
      <c r="A13" s="6" t="n"/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6" t="n"/>
      <c r="M13" s="6" t="n"/>
      <c r="N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N14" s="6" t="n"/>
    </row>
    <row r="15">
      <c r="A15" s="6" t="n"/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" t="n"/>
      <c r="M15" s="6" t="n"/>
      <c r="N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</row>
    <row r="17">
      <c r="A17" s="6" t="n"/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  <c r="L17" s="6" t="n"/>
      <c r="M17" s="6" t="n"/>
      <c r="N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6" t="n"/>
      <c r="M18" s="6" t="n"/>
      <c r="N18" s="6" t="n"/>
    </row>
    <row r="19">
      <c r="A19" s="6" t="n"/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6" t="n"/>
      <c r="M19" s="6" t="n"/>
      <c r="N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6" t="n"/>
      <c r="M20" s="6" t="n"/>
      <c r="N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M21" s="6" t="n"/>
      <c r="N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" t="n"/>
      <c r="M22" s="6" t="n"/>
      <c r="N22" s="6" t="n"/>
    </row>
    <row r="23">
      <c r="A23" s="6" t="n"/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</row>
    <row r="25">
      <c r="A25" s="6" t="n"/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6" t="n"/>
      <c r="M25" s="6" t="n"/>
      <c r="N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</row>
    <row r="27">
      <c r="A27" s="6" t="n"/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6" t="n"/>
      <c r="M27" s="6" t="n"/>
      <c r="N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</row>
    <row r="32">
      <c r="A32" s="6" t="n"/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6" t="n"/>
      <c r="M32" s="6" t="n"/>
      <c r="N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</row>
    <row r="34">
      <c r="A34" s="6" t="n"/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6" t="n"/>
      <c r="M34" s="6" t="n"/>
      <c r="N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  <c r="L43" s="6" t="n"/>
      <c r="M43" s="6" t="n"/>
      <c r="N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</row>
    <row r="47">
      <c r="A47" s="6" t="n"/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  <c r="K47" s="6" t="n"/>
      <c r="L47" s="6" t="n"/>
      <c r="M47" s="6" t="n"/>
      <c r="N47" s="6" t="n"/>
    </row>
    <row r="48">
      <c r="A48" s="6" t="n"/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  <c r="K48" s="6" t="n"/>
      <c r="L48" s="6" t="n"/>
      <c r="M48" s="6" t="n"/>
      <c r="N48" s="6" t="n"/>
    </row>
    <row r="49">
      <c r="A49" s="6" t="n"/>
      <c r="B49" s="42" t="inlineStr">
        <is>
          <t>Sources : Statistique Canada 34-10-0133-01, 18-10-0005-01 ; SCHL, Rapport sur le marché locatif 2025.</t>
        </is>
      </c>
      <c r="C49" s="6" t="n"/>
      <c r="D49" s="6" t="n"/>
      <c r="E49" s="6" t="n"/>
      <c r="F49" s="6" t="n"/>
      <c r="G49" s="6" t="n"/>
      <c r="H49" s="6" t="n"/>
      <c r="I49" s="6" t="n"/>
      <c r="J49" s="6" t="n"/>
      <c r="K49" s="6" t="n"/>
      <c r="L49" s="6" t="n"/>
      <c r="M49" s="6" t="n"/>
      <c r="N49" s="6" t="n"/>
    </row>
    <row r="50">
      <c r="A50" s="6" t="n"/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</row>
  </sheetData>
  <mergeCells count="18">
    <mergeCell ref="B11:D11"/>
    <mergeCell ref="K8:M8"/>
    <mergeCell ref="K11:L11"/>
    <mergeCell ref="J5:K5"/>
    <mergeCell ref="B5:C5"/>
    <mergeCell ref="B8:D8"/>
    <mergeCell ref="F5:G5"/>
    <mergeCell ref="D5:E5"/>
    <mergeCell ref="E8:G8"/>
    <mergeCell ref="E11:F11"/>
    <mergeCell ref="H8:J8"/>
    <mergeCell ref="H9:J10"/>
    <mergeCell ref="H5:I5"/>
    <mergeCell ref="B9:D10"/>
    <mergeCell ref="L5:M5"/>
    <mergeCell ref="E9:G10"/>
    <mergeCell ref="K9:M10"/>
    <mergeCell ref="H11:J11"/>
  </mergeCells>
  <dataValidations count="3">
    <dataValidation sqref="D5" showDropDown="0" showInputMessage="0" showErrorMessage="1" allowBlank="0" error="Choisis une année entre 1992 et 2024." type="whole" operator="between">
      <formula1>1992</formula1>
      <formula2>2024</formula2>
    </dataValidation>
    <dataValidation sqref="H5" showDropDown="0" showInputMessage="0" showErrorMessage="1" allowBlank="0" error="Choisis une année entre 1993 et 2025." type="whole" operator="between">
      <formula1>1993</formula1>
      <formula2>2025</formula2>
    </dataValidation>
    <dataValidation sqref="L5" showDropDown="0" showInputMessage="0" showErrorMessage="1" allowBlank="0" type="list">
      <formula1>"Studio,1 chambre,2 chambres,3 chambres"</formula1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2F86D6"/>
    <outlinePr summaryBelow="1" summaryRight="1"/>
    <pageSetUpPr fitToPage="1"/>
  </sheetPr>
  <dimension ref="A1:P52"/>
  <sheetViews>
    <sheetView showGridLines="0" tabSelected="0" zoomScale="85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0.5" customWidth="1" min="2" max="2"/>
    <col width="10.5" customWidth="1" min="3" max="3"/>
    <col width="10.5" customWidth="1" min="4" max="4"/>
    <col width="10.5" customWidth="1" min="5" max="5"/>
    <col width="10.5" customWidth="1" min="6" max="6"/>
    <col width="10.5" customWidth="1" min="7" max="7"/>
    <col width="10.5" customWidth="1" min="8" max="8"/>
    <col width="10.5" customWidth="1" min="9" max="9"/>
    <col width="10.5" customWidth="1" min="10" max="10"/>
    <col width="9" customWidth="1" min="11" max="11"/>
    <col width="27" customWidth="1" min="12" max="12"/>
    <col width="12" customWidth="1" min="13" max="13"/>
    <col width="12" customWidth="1" min="14" max="14"/>
    <col width="14" customWidth="1" min="15" max="15"/>
    <col width="3" customWidth="1" min="16" max="16"/>
  </cols>
  <sheetData>
    <row r="1" ht="34" customHeight="1">
      <c r="A1" s="1" t="n"/>
      <c r="B1" s="30" t="inlineStr">
        <is>
          <t>Carte du Canada : où les loyers montent-ils le plus vite 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31">
        <f>HYPERLINK("#'Accueil'!A1","← Accueil")</f>
        <v/>
      </c>
    </row>
    <row r="2" ht="20" customHeight="1">
      <c r="A2" s="1" t="n"/>
      <c r="B2" s="3" t="inlineStr">
        <is>
          <t>Indice des prix du loyer par province · choisis l'indicateur, l'année et la province (cases jaunes)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5" t="n"/>
      <c r="K3" s="5" t="n"/>
      <c r="L3" s="5" t="n"/>
      <c r="M3" s="5" t="n"/>
      <c r="N3" s="5" t="n"/>
      <c r="O3" s="5" t="n"/>
      <c r="P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  <c r="O4" s="6" t="n"/>
      <c r="P4" s="6" t="n"/>
    </row>
    <row r="5" ht="24" customHeight="1">
      <c r="A5" s="6" t="n"/>
      <c r="B5" s="32" t="inlineStr">
        <is>
          <t>Indicateur</t>
        </is>
      </c>
      <c r="D5" s="33" t="inlineStr">
        <is>
          <t>Hausse des loyers sur un an</t>
        </is>
      </c>
      <c r="E5" s="34" t="n"/>
      <c r="F5" s="34" t="n"/>
      <c r="G5" s="34" t="n"/>
      <c r="H5" s="32" t="inlineStr">
        <is>
          <t>Province</t>
        </is>
      </c>
      <c r="I5" s="33" t="inlineStr">
        <is>
          <t>Québec</t>
        </is>
      </c>
      <c r="J5" s="34" t="n"/>
      <c r="K5" s="6" t="n"/>
      <c r="L5" s="6" t="n"/>
      <c r="M5" s="6" t="n"/>
      <c r="N5" s="6" t="n"/>
      <c r="O5" s="6" t="n"/>
      <c r="P5" s="6" t="n"/>
    </row>
    <row r="6" ht="24" customHeight="1">
      <c r="A6" s="6" t="n"/>
      <c r="B6" s="32" t="inlineStr">
        <is>
          <t>Année</t>
        </is>
      </c>
      <c r="D6" s="43" t="n">
        <v>2025</v>
      </c>
      <c r="E6" s="34" t="n"/>
      <c r="F6" s="44">
        <f>"Hausse de "&amp;(AnneeCarte-1)&amp;" à "&amp;AnneeCarte&amp;" pour l'indicateur sur un an"</f>
        <v/>
      </c>
      <c r="K6" s="6" t="n"/>
      <c r="L6" s="6" t="n"/>
      <c r="M6" s="6" t="n"/>
      <c r="N6" s="6" t="n"/>
      <c r="O6" s="6" t="n"/>
      <c r="P6" s="6" t="n"/>
    </row>
    <row r="7">
      <c r="A7" s="6" t="n"/>
      <c r="B7" s="6" t="n"/>
      <c r="C7" s="6" t="n"/>
      <c r="D7" s="6" t="n"/>
      <c r="E7" s="6" t="n"/>
      <c r="F7" s="6" t="n"/>
      <c r="G7" s="6" t="n"/>
      <c r="H7" s="6" t="n"/>
      <c r="I7" s="6" t="n"/>
      <c r="J7" s="6" t="n"/>
      <c r="K7" s="6" t="n"/>
      <c r="L7" s="6" t="n"/>
      <c r="M7" s="6" t="n"/>
      <c r="N7" s="6" t="n"/>
      <c r="O7" s="6" t="n"/>
      <c r="P7" s="6" t="n"/>
    </row>
    <row r="8">
      <c r="A8" s="6" t="n"/>
      <c r="B8" s="6" t="n"/>
      <c r="C8" s="6" t="n"/>
      <c r="D8" s="6" t="n"/>
      <c r="E8" s="6" t="n"/>
      <c r="F8" s="6" t="n"/>
      <c r="G8" s="6" t="n"/>
      <c r="H8" s="6" t="n"/>
      <c r="I8" s="6" t="n"/>
      <c r="J8" s="6" t="n"/>
      <c r="K8" s="6" t="n"/>
      <c r="L8" s="45" t="inlineStr">
        <is>
          <t>CLASSEMENT DES PROVINCES</t>
        </is>
      </c>
      <c r="M8" s="6" t="n"/>
      <c r="N8" s="6" t="n"/>
      <c r="O8" s="6" t="n"/>
      <c r="P8" s="6" t="n"/>
    </row>
    <row r="9">
      <c r="A9" s="6" t="n"/>
      <c r="B9" s="6" t="n"/>
      <c r="C9" s="6" t="n"/>
      <c r="D9" s="6" t="n"/>
      <c r="E9" s="6" t="n"/>
      <c r="F9" s="6" t="n"/>
      <c r="G9" s="6" t="n"/>
      <c r="H9" s="6" t="n"/>
      <c r="I9" s="6" t="n"/>
      <c r="J9" s="6" t="n"/>
      <c r="K9" s="6" t="n"/>
      <c r="L9" s="46" t="inlineStr">
        <is>
          <t>Province</t>
        </is>
      </c>
      <c r="M9" s="46" t="inlineStr">
        <is>
          <t>Valeur</t>
        </is>
      </c>
      <c r="N9" s="46" t="inlineStr">
        <is>
          <t>Rang</t>
        </is>
      </c>
      <c r="O9" s="46" t="inlineStr">
        <is>
          <t>Écart au Canada</t>
        </is>
      </c>
      <c r="P9" s="6" t="n"/>
    </row>
    <row r="10">
      <c r="A10" s="6" t="n"/>
      <c r="B10" s="6" t="n"/>
      <c r="C10" s="6" t="n"/>
      <c r="D10" s="6" t="n"/>
      <c r="E10" s="6" t="n"/>
      <c r="F10" s="6" t="n"/>
      <c r="G10" s="6" t="n"/>
      <c r="H10" s="6" t="n"/>
      <c r="I10" s="6" t="n"/>
      <c r="J10" s="6" t="n"/>
      <c r="K10" s="6" t="n"/>
      <c r="L10" s="47">
        <f>Calculs!AA82</f>
        <v/>
      </c>
      <c r="M10" s="48">
        <f>Calculs!AB82</f>
        <v/>
      </c>
      <c r="N10" s="49" t="n">
        <v>1</v>
      </c>
      <c r="O10" s="50">
        <f>(M10-V_CA)*100</f>
        <v/>
      </c>
      <c r="P10" s="6" t="n"/>
    </row>
    <row r="11">
      <c r="A11" s="6" t="n"/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  <c r="K11" s="6" t="n"/>
      <c r="L11" s="47">
        <f>Calculs!AA83</f>
        <v/>
      </c>
      <c r="M11" s="48">
        <f>Calculs!AB83</f>
        <v/>
      </c>
      <c r="N11" s="49" t="n">
        <v>2</v>
      </c>
      <c r="O11" s="50">
        <f>(M11-V_CA)*100</f>
        <v/>
      </c>
      <c r="P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47">
        <f>Calculs!AA84</f>
        <v/>
      </c>
      <c r="M12" s="48">
        <f>Calculs!AB84</f>
        <v/>
      </c>
      <c r="N12" s="49" t="n">
        <v>3</v>
      </c>
      <c r="O12" s="50">
        <f>(M12-V_CA)*100</f>
        <v/>
      </c>
      <c r="P12" s="6" t="n"/>
    </row>
    <row r="13">
      <c r="A13" s="6" t="n"/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47">
        <f>Calculs!AA85</f>
        <v/>
      </c>
      <c r="M13" s="48">
        <f>Calculs!AB85</f>
        <v/>
      </c>
      <c r="N13" s="49" t="n">
        <v>4</v>
      </c>
      <c r="O13" s="50">
        <f>(M13-V_CA)*100</f>
        <v/>
      </c>
      <c r="P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47">
        <f>Calculs!AA86</f>
        <v/>
      </c>
      <c r="M14" s="48">
        <f>Calculs!AB86</f>
        <v/>
      </c>
      <c r="N14" s="49" t="n">
        <v>5</v>
      </c>
      <c r="O14" s="50">
        <f>(M14-V_CA)*100</f>
        <v/>
      </c>
      <c r="P14" s="6" t="n"/>
    </row>
    <row r="15">
      <c r="A15" s="6" t="n"/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47">
        <f>Calculs!AA87</f>
        <v/>
      </c>
      <c r="M15" s="48">
        <f>Calculs!AB87</f>
        <v/>
      </c>
      <c r="N15" s="49" t="n">
        <v>6</v>
      </c>
      <c r="O15" s="50">
        <f>(M15-V_CA)*100</f>
        <v/>
      </c>
      <c r="P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47">
        <f>Calculs!AA88</f>
        <v/>
      </c>
      <c r="M16" s="48">
        <f>Calculs!AB88</f>
        <v/>
      </c>
      <c r="N16" s="49" t="n">
        <v>7</v>
      </c>
      <c r="O16" s="50">
        <f>(M16-V_CA)*100</f>
        <v/>
      </c>
      <c r="P16" s="6" t="n"/>
    </row>
    <row r="17">
      <c r="A17" s="6" t="n"/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  <c r="L17" s="47">
        <f>Calculs!AA89</f>
        <v/>
      </c>
      <c r="M17" s="48">
        <f>Calculs!AB89</f>
        <v/>
      </c>
      <c r="N17" s="49" t="n">
        <v>8</v>
      </c>
      <c r="O17" s="50">
        <f>(M17-V_CA)*100</f>
        <v/>
      </c>
      <c r="P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47">
        <f>Calculs!AA90</f>
        <v/>
      </c>
      <c r="M18" s="48">
        <f>Calculs!AB90</f>
        <v/>
      </c>
      <c r="N18" s="49" t="n">
        <v>9</v>
      </c>
      <c r="O18" s="50">
        <f>(M18-V_CA)*100</f>
        <v/>
      </c>
      <c r="P18" s="6" t="n"/>
    </row>
    <row r="19">
      <c r="A19" s="6" t="n"/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47">
        <f>Calculs!AA91</f>
        <v/>
      </c>
      <c r="M19" s="48">
        <f>Calculs!AB91</f>
        <v/>
      </c>
      <c r="N19" s="49" t="n">
        <v>10</v>
      </c>
      <c r="O19" s="50">
        <f>(M19-V_CA)*100</f>
        <v/>
      </c>
      <c r="P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51" t="inlineStr">
        <is>
          <t>Canada (référence)</t>
        </is>
      </c>
      <c r="M20" s="52">
        <f>V_CA</f>
        <v/>
      </c>
      <c r="N20" s="6" t="n"/>
      <c r="O20" s="6" t="n"/>
      <c r="P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M21" s="6" t="n"/>
      <c r="N21" s="6" t="n"/>
      <c r="O21" s="6" t="n"/>
      <c r="P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53" t="inlineStr">
        <is>
          <t>PROVINCE CHOISIE</t>
        </is>
      </c>
      <c r="M22" s="6" t="n"/>
      <c r="N22" s="6" t="n"/>
      <c r="O22" s="6" t="n"/>
      <c r="P22" s="6" t="n"/>
    </row>
    <row r="23" ht="22" customHeight="1">
      <c r="A23" s="6" t="n"/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54">
        <f>ProvSel</f>
        <v/>
      </c>
      <c r="M23" s="9" t="n"/>
      <c r="N23" s="9" t="n"/>
      <c r="O23" s="10" t="n"/>
      <c r="P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55" t="inlineStr">
        <is>
          <t>Valeur de l'indicateur</t>
        </is>
      </c>
      <c r="N24" s="56">
        <f>INDEX(ProvValeurs,MATCH(ProvSel,ProvNoms,0))</f>
        <v/>
      </c>
      <c r="O24" s="18" t="n"/>
      <c r="P24" s="6" t="n"/>
    </row>
    <row r="25">
      <c r="A25" s="6" t="n"/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55" t="inlineStr">
        <is>
          <t>Rang sur 10 provinces</t>
        </is>
      </c>
      <c r="N25" s="57">
        <f>INDEX(ProvRangs,MATCH(ProvSel,ProvNoms,0))</f>
        <v/>
      </c>
      <c r="O25" s="18" t="n"/>
      <c r="P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55">
        <f>"Hausse sur un an ("&amp;AnneeCarte&amp;")"</f>
        <v/>
      </c>
      <c r="N26" s="56">
        <f>INDEX(Calculs!$J$82:$J$91,MATCH(ProvSel,ProvNoms,0))</f>
        <v/>
      </c>
      <c r="O26" s="18" t="n"/>
      <c r="P26" s="6" t="n"/>
    </row>
    <row r="27">
      <c r="A27" s="6" t="n"/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55">
        <f>"Hausse 2019 → "&amp;AnneeCarte</f>
        <v/>
      </c>
      <c r="N27" s="56">
        <f>INDEX(Calculs!$K$82:$K$91,MATCH(ProvSel,ProvNoms,0))</f>
        <v/>
      </c>
      <c r="O27" s="18" t="n"/>
      <c r="P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55">
        <f>"Hausse réelle 2019 → "&amp;AnneeCarte</f>
        <v/>
      </c>
      <c r="N28" s="56">
        <f>INDEX(Calculs!$L$82:$L$91,MATCH(ProvSel,ProvNoms,0))</f>
        <v/>
      </c>
      <c r="O28" s="18" t="n"/>
      <c r="P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58" t="n"/>
      <c r="M29" s="59" t="n"/>
      <c r="N29" s="59" t="n"/>
      <c r="O29" s="60" t="n"/>
      <c r="P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  <c r="O30" s="6" t="n"/>
      <c r="P30" s="6" t="n"/>
    </row>
    <row r="31">
      <c r="A31" s="6" t="n"/>
      <c r="B31" s="45" t="inlineStr">
        <is>
          <t>LÉGENDE : QUINTILES DE L'INDICATEUR (UNE COULEUR = 2 PROVINCES)</t>
        </is>
      </c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</row>
    <row r="32">
      <c r="A32" s="6" t="n"/>
      <c r="B32" s="61" t="n"/>
      <c r="C32" s="62">
        <f>"≥ "&amp;Calculs!C94</f>
        <v/>
      </c>
      <c r="D32" s="63" t="n"/>
      <c r="E32" s="62">
        <f>"≥ "&amp;Calculs!C95</f>
        <v/>
      </c>
      <c r="F32" s="64" t="n"/>
      <c r="G32" s="62">
        <f>"≥ "&amp;Calculs!C96</f>
        <v/>
      </c>
      <c r="H32" s="27" t="n"/>
      <c r="I32" s="62">
        <f>"≥ "&amp;Calculs!C97</f>
        <v/>
      </c>
      <c r="J32" s="1" t="n"/>
      <c r="K32" s="62">
        <f>"≥ "&amp;Calculs!C98</f>
        <v/>
      </c>
      <c r="L32" s="6" t="n"/>
      <c r="M32" s="6" t="n"/>
      <c r="N32" s="6" t="n"/>
      <c r="O32" s="6" t="n"/>
      <c r="P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</row>
    <row r="34">
      <c r="A34" s="6" t="n"/>
      <c r="B34" s="42" t="inlineStr">
        <is>
          <t>Contours : Natural Earth (domaine public), projection conique conforme de Lambert (paramètres de Statistique Canada), calculée par src/geo.py. Territoires : pas d'IPC provincial publié.</t>
        </is>
      </c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6" t="n"/>
      <c r="M34" s="6" t="n"/>
      <c r="N34" s="6" t="n"/>
      <c r="O34" s="6" t="n"/>
      <c r="P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  <c r="O35" s="6" t="n"/>
      <c r="P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  <c r="O36" s="6" t="n"/>
      <c r="P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  <c r="O41" s="6" t="n"/>
      <c r="P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  <c r="O42" s="6" t="n"/>
      <c r="P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  <c r="L43" s="6" t="n"/>
      <c r="M43" s="6" t="n"/>
      <c r="N43" s="6" t="n"/>
      <c r="O43" s="6" t="n"/>
      <c r="P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  <c r="O44" s="6" t="n"/>
      <c r="P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  <c r="O45" s="6" t="n"/>
      <c r="P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  <c r="O46" s="6" t="n"/>
      <c r="P46" s="6" t="n"/>
    </row>
    <row r="47">
      <c r="A47" s="6" t="n"/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  <c r="K47" s="6" t="n"/>
      <c r="L47" s="6" t="n"/>
      <c r="M47" s="6" t="n"/>
      <c r="N47" s="6" t="n"/>
      <c r="O47" s="6" t="n"/>
      <c r="P47" s="6" t="n"/>
    </row>
    <row r="48">
      <c r="A48" s="6" t="n"/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  <c r="K48" s="6" t="n"/>
      <c r="L48" s="6" t="n"/>
      <c r="M48" s="6" t="n"/>
      <c r="N48" s="6" t="n"/>
      <c r="O48" s="6" t="n"/>
      <c r="P48" s="6" t="n"/>
    </row>
    <row r="49">
      <c r="A49" s="6" t="n"/>
      <c r="B49" s="6" t="n"/>
      <c r="C49" s="6" t="n"/>
      <c r="D49" s="6" t="n"/>
      <c r="E49" s="6" t="n"/>
      <c r="F49" s="6" t="n"/>
      <c r="G49" s="6" t="n"/>
      <c r="H49" s="6" t="n"/>
      <c r="I49" s="6" t="n"/>
      <c r="J49" s="6" t="n"/>
      <c r="K49" s="6" t="n"/>
      <c r="L49" s="6" t="n"/>
      <c r="M49" s="6" t="n"/>
      <c r="N49" s="6" t="n"/>
      <c r="O49" s="6" t="n"/>
      <c r="P49" s="6" t="n"/>
    </row>
    <row r="50">
      <c r="A50" s="6" t="n"/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  <c r="O50" s="6" t="n"/>
      <c r="P50" s="6" t="n"/>
    </row>
    <row r="51">
      <c r="A51" s="6" t="n"/>
      <c r="B51" s="6" t="n"/>
      <c r="C51" s="6" t="n"/>
      <c r="D51" s="6" t="n"/>
      <c r="E51" s="6" t="n"/>
      <c r="F51" s="6" t="n"/>
      <c r="G51" s="6" t="n"/>
      <c r="H51" s="6" t="n"/>
      <c r="I51" s="6" t="n"/>
      <c r="J51" s="6" t="n"/>
      <c r="K51" s="6" t="n"/>
      <c r="L51" s="6" t="n"/>
      <c r="M51" s="6" t="n"/>
      <c r="N51" s="6" t="n"/>
      <c r="O51" s="6" t="n"/>
      <c r="P51" s="6" t="n"/>
    </row>
    <row r="52">
      <c r="A52" s="6" t="n"/>
      <c r="B52" s="6" t="n"/>
      <c r="C52" s="6" t="n"/>
      <c r="D52" s="6" t="n"/>
      <c r="E52" s="6" t="n"/>
      <c r="F52" s="6" t="n"/>
      <c r="G52" s="6" t="n"/>
      <c r="H52" s="6" t="n"/>
      <c r="I52" s="6" t="n"/>
      <c r="J52" s="6" t="n"/>
      <c r="K52" s="6" t="n"/>
      <c r="L52" s="6" t="n"/>
      <c r="M52" s="6" t="n"/>
      <c r="N52" s="6" t="n"/>
      <c r="O52" s="6" t="n"/>
      <c r="P52" s="6" t="n"/>
    </row>
  </sheetData>
  <mergeCells count="18">
    <mergeCell ref="N26:O26"/>
    <mergeCell ref="H5"/>
    <mergeCell ref="B6:C6"/>
    <mergeCell ref="D6:E6"/>
    <mergeCell ref="L23:O23"/>
    <mergeCell ref="L26:M26"/>
    <mergeCell ref="B5:C5"/>
    <mergeCell ref="N24:O24"/>
    <mergeCell ref="L24:M24"/>
    <mergeCell ref="L28:M28"/>
    <mergeCell ref="N25:O25"/>
    <mergeCell ref="L25:M25"/>
    <mergeCell ref="I5:J5"/>
    <mergeCell ref="L27:M27"/>
    <mergeCell ref="N27:O27"/>
    <mergeCell ref="N28:O28"/>
    <mergeCell ref="F6:J6"/>
    <mergeCell ref="D5:G5"/>
  </mergeCells>
  <conditionalFormatting sqref="L10:O19">
    <cfRule type="expression" priority="1" dxfId="0">
      <formula>$L10=ProvSel</formula>
    </cfRule>
  </conditionalFormatting>
  <conditionalFormatting sqref="M10:M19">
    <cfRule type="dataBar" priority="2">
      <dataBar>
        <cfvo type="num" val="0"/>
        <cfvo type="max"/>
        <color rgb="009CCBF2"/>
      </dataBar>
    </cfRule>
  </conditionalFormatting>
  <dataValidations count="3">
    <dataValidation sqref="D5" showDropDown="0" showInputMessage="0" showErrorMessage="1" allowBlank="0" type="list">
      <formula1>ListeIndProv</formula1>
    </dataValidation>
    <dataValidation sqref="D6" showDropDown="0" showInputMessage="0" showErrorMessage="1" allowBlank="0" error="Choisis une année entre 2020 et 2025." type="whole" operator="between">
      <formula1>2020</formula1>
      <formula2>2025</formula2>
    </dataValidation>
    <dataValidation sqref="I5" showDropDown="0" showInputMessage="0" showErrorMessage="1" allowBlank="0" type="list">
      <formula1>ProvNoms</formula1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tabColor rgb="002F86D6"/>
    <outlinePr summaryBelow="1" summaryRight="1"/>
    <pageSetUpPr fitToPage="1"/>
  </sheetPr>
  <dimension ref="A1:P60"/>
  <sheetViews>
    <sheetView showGridLines="0" tabSelected="0" zoomScale="85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4" customWidth="1" min="11" max="11"/>
    <col width="34" customWidth="1" min="12" max="12"/>
    <col width="12" customWidth="1" min="13" max="13"/>
    <col width="12" customWidth="1" min="14" max="14"/>
    <col width="7" customWidth="1" min="15" max="15"/>
    <col width="3" customWidth="1" min="16" max="16"/>
  </cols>
  <sheetData>
    <row r="1" ht="34" customHeight="1">
      <c r="A1" s="1" t="n"/>
      <c r="B1" s="30" t="inlineStr">
        <is>
          <t>Carte des villes : combien coûte un déménagement 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31">
        <f>HYPERLINK("#'Accueil'!A1","← Accueil")</f>
        <v/>
      </c>
    </row>
    <row r="2" ht="20" customHeight="1">
      <c r="A2" s="1" t="n"/>
      <c r="B2" s="3" t="inlineStr">
        <is>
          <t>Appartements de 2 chambres, 2026 T2 · loyer demandé dans les annonces contre loyer payé par les locataires en place · 16 régions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5" t="n"/>
      <c r="K3" s="5" t="n"/>
      <c r="L3" s="5" t="n"/>
      <c r="M3" s="5" t="n"/>
      <c r="N3" s="5" t="n"/>
      <c r="O3" s="5" t="n"/>
      <c r="P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  <c r="O4" s="6" t="n"/>
      <c r="P4" s="6" t="n"/>
    </row>
    <row r="5" ht="24" customHeight="1">
      <c r="A5" s="6" t="n"/>
      <c r="B5" s="32" t="inlineStr">
        <is>
          <t>Indicateur</t>
        </is>
      </c>
      <c r="D5" s="33" t="inlineStr">
        <is>
          <t>Écart entre loyer demandé et loyer payé (%)</t>
        </is>
      </c>
      <c r="E5" s="34" t="n"/>
      <c r="F5" s="34" t="n"/>
      <c r="G5" s="34" t="n"/>
      <c r="H5" s="34" t="n"/>
      <c r="I5" s="6" t="n"/>
      <c r="J5" s="6" t="n"/>
      <c r="K5" s="6" t="n"/>
      <c r="L5" s="6" t="n"/>
      <c r="M5" s="6" t="n"/>
      <c r="N5" s="6" t="n"/>
      <c r="O5" s="6" t="n"/>
      <c r="P5" s="6" t="n"/>
    </row>
    <row r="6" ht="24" customHeight="1">
      <c r="A6" s="6" t="n"/>
      <c r="B6" s="32" t="inlineStr">
        <is>
          <t>Ville</t>
        </is>
      </c>
      <c r="D6" s="33" t="inlineStr">
        <is>
          <t>Montréal</t>
        </is>
      </c>
      <c r="E6" s="34" t="n"/>
      <c r="F6" s="34" t="n"/>
      <c r="G6" s="34" t="n"/>
      <c r="H6" s="34" t="n"/>
      <c r="I6" s="6" t="n"/>
      <c r="J6" s="6" t="n"/>
      <c r="K6" s="6" t="n"/>
      <c r="L6" s="6" t="n"/>
      <c r="M6" s="6" t="n"/>
      <c r="N6" s="6" t="n"/>
      <c r="O6" s="6" t="n"/>
      <c r="P6" s="6" t="n"/>
    </row>
    <row r="7">
      <c r="A7" s="6" t="n"/>
      <c r="B7" s="6" t="n"/>
      <c r="C7" s="6" t="n"/>
      <c r="D7" s="6" t="n"/>
      <c r="E7" s="6" t="n"/>
      <c r="F7" s="6" t="n"/>
      <c r="G7" s="6" t="n"/>
      <c r="H7" s="6" t="n"/>
      <c r="I7" s="6" t="n"/>
      <c r="J7" s="6" t="n"/>
      <c r="K7" s="6" t="n"/>
      <c r="L7" s="6" t="n"/>
      <c r="M7" s="6" t="n"/>
      <c r="N7" s="6" t="n"/>
      <c r="O7" s="6" t="n"/>
      <c r="P7" s="6" t="n"/>
    </row>
    <row r="8">
      <c r="A8" s="6" t="n"/>
      <c r="B8" s="6" t="n"/>
      <c r="C8" s="6" t="n"/>
      <c r="D8" s="6" t="n"/>
      <c r="E8" s="6" t="n"/>
      <c r="F8" s="6" t="n"/>
      <c r="G8" s="6" t="n"/>
      <c r="H8" s="6" t="n"/>
      <c r="I8" s="6" t="n"/>
      <c r="J8" s="6" t="n"/>
      <c r="K8" s="6" t="n"/>
      <c r="L8" s="53" t="inlineStr">
        <is>
          <t>VILLE CHOISIE</t>
        </is>
      </c>
      <c r="M8" s="6" t="n"/>
      <c r="N8" s="6" t="n"/>
      <c r="O8" s="6" t="n"/>
      <c r="P8" s="6" t="n"/>
    </row>
    <row r="9" ht="22" customHeight="1">
      <c r="A9" s="6" t="n"/>
      <c r="B9" s="6" t="n"/>
      <c r="C9" s="6" t="n"/>
      <c r="D9" s="6" t="n"/>
      <c r="E9" s="6" t="n"/>
      <c r="F9" s="6" t="n"/>
      <c r="G9" s="6" t="n"/>
      <c r="H9" s="6" t="n"/>
      <c r="I9" s="6" t="n"/>
      <c r="J9" s="6" t="n"/>
      <c r="K9" s="6" t="n"/>
      <c r="L9" s="54">
        <f>VilleSel</f>
        <v/>
      </c>
      <c r="M9" s="9" t="n"/>
      <c r="N9" s="9" t="n"/>
      <c r="O9" s="10" t="n"/>
      <c r="P9" s="6" t="n"/>
    </row>
    <row r="10">
      <c r="A10" s="6" t="n"/>
      <c r="B10" s="6" t="n"/>
      <c r="C10" s="6" t="n"/>
      <c r="D10" s="6" t="n"/>
      <c r="E10" s="6" t="n"/>
      <c r="F10" s="6" t="n"/>
      <c r="G10" s="6" t="n"/>
      <c r="H10" s="6" t="n"/>
      <c r="I10" s="6" t="n"/>
      <c r="J10" s="6" t="n"/>
      <c r="K10" s="6" t="n"/>
      <c r="L10" s="55" t="inlineStr">
        <is>
          <t>Loyer demandé (annonces)</t>
        </is>
      </c>
      <c r="N10" s="65">
        <f>INDEX(Calculs!$G$112:$G$127,VilleSelRow)</f>
        <v/>
      </c>
      <c r="O10" s="18" t="n"/>
      <c r="P10" s="6" t="n"/>
    </row>
    <row r="11">
      <c r="A11" s="6" t="n"/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  <c r="K11" s="6" t="n"/>
      <c r="L11" s="55" t="inlineStr">
        <is>
          <t>Loyer payé (locataires en place)</t>
        </is>
      </c>
      <c r="N11" s="65">
        <f>INDEX(Calculs!$H$112:$H$127,VilleSelRow)</f>
        <v/>
      </c>
      <c r="O11" s="18" t="n"/>
      <c r="P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55" t="inlineStr">
        <is>
          <t>Écart par mois</t>
        </is>
      </c>
      <c r="N12" s="66">
        <f>INDEX(Calculs!$I$112:$I$127,VilleSelRow)</f>
        <v/>
      </c>
      <c r="O12" s="18" t="n"/>
      <c r="P12" s="6" t="n"/>
    </row>
    <row r="13">
      <c r="A13" s="6" t="n"/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55" t="inlineStr">
        <is>
          <t>Écart en %</t>
        </is>
      </c>
      <c r="N13" s="56">
        <f>INDEX(Calculs!$J$112:$J$127,VilleSelRow)</f>
        <v/>
      </c>
      <c r="O13" s="18" t="n"/>
      <c r="P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55" t="inlineStr">
        <is>
          <t>Rang pour l'indicateur</t>
        </is>
      </c>
      <c r="N14" s="67">
        <f>INDEX(V_Rangs,VilleSelRow)&amp;" sur 16"</f>
        <v/>
      </c>
      <c r="O14" s="18" t="n"/>
      <c r="P14" s="6" t="n"/>
    </row>
    <row r="15">
      <c r="A15" s="6" t="n"/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8" t="inlineStr">
        <is>
          <t>Les 16 régions où les deux loyers sont publiés pour 2026 T2.</t>
        </is>
      </c>
      <c r="M15" s="23" t="n"/>
      <c r="N15" s="23" t="n"/>
      <c r="O15" s="24" t="n"/>
      <c r="P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  <c r="O16" s="6" t="n"/>
      <c r="P16" s="6" t="n"/>
    </row>
    <row r="17">
      <c r="A17" s="6" t="n"/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  <c r="L17" s="45" t="inlineStr">
        <is>
          <t>LÉGENDE : QUINTILES DE L'INDICATEUR</t>
        </is>
      </c>
      <c r="M17" s="6" t="n"/>
      <c r="N17" s="6" t="n"/>
      <c r="O17" s="6" t="n"/>
      <c r="P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62">
        <f>"Classe 1 : à partir de "&amp;Calculs!C130</f>
        <v/>
      </c>
      <c r="M18" s="61" t="n"/>
      <c r="N18" s="6" t="n"/>
      <c r="O18" s="6" t="n"/>
      <c r="P18" s="6" t="n"/>
    </row>
    <row r="19">
      <c r="A19" s="6" t="n"/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62">
        <f>"Classe 2 : à partir de "&amp;Calculs!C131</f>
        <v/>
      </c>
      <c r="M19" s="63" t="n"/>
      <c r="N19" s="6" t="n"/>
      <c r="O19" s="6" t="n"/>
      <c r="P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62">
        <f>"Classe 3 : à partir de "&amp;Calculs!C132</f>
        <v/>
      </c>
      <c r="M20" s="64" t="n"/>
      <c r="N20" s="6" t="n"/>
      <c r="O20" s="6" t="n"/>
      <c r="P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2">
        <f>"Classe 4 : à partir de "&amp;Calculs!C133</f>
        <v/>
      </c>
      <c r="M21" s="27" t="n"/>
      <c r="N21" s="6" t="n"/>
      <c r="O21" s="6" t="n"/>
      <c r="P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2">
        <f>"Classe 5 : à partir de "&amp;Calculs!C134</f>
        <v/>
      </c>
      <c r="M22" s="1" t="n"/>
      <c r="N22" s="6" t="n"/>
      <c r="O22" s="6" t="n"/>
      <c r="P22" s="6" t="n"/>
    </row>
    <row r="23">
      <c r="A23" s="6" t="n"/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45" t="inlineStr">
        <is>
          <t>LES 10 PREMIÈRES RÉGIONS</t>
        </is>
      </c>
      <c r="M24" s="6" t="n"/>
      <c r="N24" s="6" t="n"/>
      <c r="O24" s="6" t="n"/>
      <c r="P24" s="6" t="n"/>
    </row>
    <row r="25">
      <c r="A25" s="6" t="n"/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46" t="inlineStr">
        <is>
          <t>Région</t>
        </is>
      </c>
      <c r="M25" s="46" t="inlineStr">
        <is>
          <t>Valeur</t>
        </is>
      </c>
      <c r="N25" s="46" t="inlineStr"/>
      <c r="O25" s="46" t="inlineStr">
        <is>
          <t>Rang</t>
        </is>
      </c>
      <c r="P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47">
        <f>Calculs!B138</f>
        <v/>
      </c>
      <c r="M26" s="49">
        <f>Calculs!D138</f>
        <v/>
      </c>
      <c r="N26" s="49">
        <f>Calculs!C138</f>
        <v/>
      </c>
      <c r="O26" s="49" t="n">
        <v>1</v>
      </c>
      <c r="P26" s="6" t="n"/>
    </row>
    <row r="27">
      <c r="A27" s="6" t="n"/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47">
        <f>Calculs!B139</f>
        <v/>
      </c>
      <c r="M27" s="49">
        <f>Calculs!D139</f>
        <v/>
      </c>
      <c r="N27" s="49">
        <f>Calculs!C139</f>
        <v/>
      </c>
      <c r="O27" s="49" t="n">
        <v>2</v>
      </c>
      <c r="P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47">
        <f>Calculs!B140</f>
        <v/>
      </c>
      <c r="M28" s="49">
        <f>Calculs!D140</f>
        <v/>
      </c>
      <c r="N28" s="49">
        <f>Calculs!C140</f>
        <v/>
      </c>
      <c r="O28" s="49" t="n">
        <v>3</v>
      </c>
      <c r="P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47">
        <f>Calculs!B141</f>
        <v/>
      </c>
      <c r="M29" s="49">
        <f>Calculs!D141</f>
        <v/>
      </c>
      <c r="N29" s="49">
        <f>Calculs!C141</f>
        <v/>
      </c>
      <c r="O29" s="49" t="n">
        <v>4</v>
      </c>
      <c r="P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47">
        <f>Calculs!B142</f>
        <v/>
      </c>
      <c r="M30" s="49">
        <f>Calculs!D142</f>
        <v/>
      </c>
      <c r="N30" s="49">
        <f>Calculs!C142</f>
        <v/>
      </c>
      <c r="O30" s="49" t="n">
        <v>5</v>
      </c>
      <c r="P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47">
        <f>Calculs!B143</f>
        <v/>
      </c>
      <c r="M31" s="49">
        <f>Calculs!D143</f>
        <v/>
      </c>
      <c r="N31" s="49">
        <f>Calculs!C143</f>
        <v/>
      </c>
      <c r="O31" s="49" t="n">
        <v>6</v>
      </c>
      <c r="P31" s="6" t="n"/>
    </row>
    <row r="32">
      <c r="A32" s="6" t="n"/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47">
        <f>Calculs!B144</f>
        <v/>
      </c>
      <c r="M32" s="49">
        <f>Calculs!D144</f>
        <v/>
      </c>
      <c r="N32" s="49">
        <f>Calculs!C144</f>
        <v/>
      </c>
      <c r="O32" s="49" t="n">
        <v>7</v>
      </c>
      <c r="P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47">
        <f>Calculs!B145</f>
        <v/>
      </c>
      <c r="M33" s="49">
        <f>Calculs!D145</f>
        <v/>
      </c>
      <c r="N33" s="49">
        <f>Calculs!C145</f>
        <v/>
      </c>
      <c r="O33" s="49" t="n">
        <v>8</v>
      </c>
      <c r="P33" s="6" t="n"/>
    </row>
    <row r="34">
      <c r="A34" s="6" t="n"/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47">
        <f>Calculs!B146</f>
        <v/>
      </c>
      <c r="M34" s="49">
        <f>Calculs!D146</f>
        <v/>
      </c>
      <c r="N34" s="49">
        <f>Calculs!C146</f>
        <v/>
      </c>
      <c r="O34" s="49" t="n">
        <v>9</v>
      </c>
      <c r="P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47">
        <f>Calculs!B147</f>
        <v/>
      </c>
      <c r="M35" s="49">
        <f>Calculs!D147</f>
        <v/>
      </c>
      <c r="N35" s="49">
        <f>Calculs!C147</f>
        <v/>
      </c>
      <c r="O35" s="49" t="n">
        <v>10</v>
      </c>
      <c r="P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  <c r="O36" s="6" t="n"/>
      <c r="P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  <c r="O41" s="6" t="n"/>
      <c r="P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  <c r="O42" s="6" t="n"/>
      <c r="P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  <c r="L43" s="6" t="n"/>
      <c r="M43" s="6" t="n"/>
      <c r="N43" s="6" t="n"/>
      <c r="O43" s="6" t="n"/>
      <c r="P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  <c r="O44" s="6" t="n"/>
      <c r="P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  <c r="O45" s="6" t="n"/>
      <c r="P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  <c r="O46" s="6" t="n"/>
      <c r="P46" s="6" t="n"/>
    </row>
    <row r="47">
      <c r="A47" s="6" t="n"/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  <c r="K47" s="6" t="n"/>
      <c r="L47" s="6" t="n"/>
      <c r="M47" s="6" t="n"/>
      <c r="N47" s="6" t="n"/>
      <c r="O47" s="6" t="n"/>
      <c r="P47" s="6" t="n"/>
    </row>
    <row r="48">
      <c r="A48" s="6" t="n"/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  <c r="K48" s="6" t="n"/>
      <c r="L48" s="6" t="n"/>
      <c r="M48" s="6" t="n"/>
      <c r="N48" s="6" t="n"/>
      <c r="O48" s="6" t="n"/>
      <c r="P48" s="6" t="n"/>
    </row>
    <row r="49">
      <c r="A49" s="6" t="n"/>
      <c r="B49" s="6" t="n"/>
      <c r="C49" s="6" t="n"/>
      <c r="D49" s="6" t="n"/>
      <c r="E49" s="6" t="n"/>
      <c r="F49" s="6" t="n"/>
      <c r="G49" s="6" t="n"/>
      <c r="H49" s="6" t="n"/>
      <c r="I49" s="6" t="n"/>
      <c r="J49" s="6" t="n"/>
      <c r="K49" s="6" t="n"/>
      <c r="L49" s="6" t="n"/>
      <c r="M49" s="6" t="n"/>
      <c r="N49" s="6" t="n"/>
      <c r="O49" s="6" t="n"/>
      <c r="P49" s="6" t="n"/>
    </row>
    <row r="50">
      <c r="A50" s="6" t="n"/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  <c r="O50" s="6" t="n"/>
      <c r="P50" s="6" t="n"/>
    </row>
    <row r="51">
      <c r="A51" s="6" t="n"/>
      <c r="B51" s="6" t="n"/>
      <c r="C51" s="6" t="n"/>
      <c r="D51" s="6" t="n"/>
      <c r="E51" s="6" t="n"/>
      <c r="F51" s="6" t="n"/>
      <c r="G51" s="6" t="n"/>
      <c r="H51" s="6" t="n"/>
      <c r="I51" s="6" t="n"/>
      <c r="J51" s="6" t="n"/>
      <c r="K51" s="6" t="n"/>
      <c r="L51" s="45" t="inlineStr">
        <is>
          <t>REPÈRES DU MARCHÉ (CALCULÉS SUR LE TABLEAU SOURCE)</t>
        </is>
      </c>
      <c r="M51" s="6" t="n"/>
      <c r="N51" s="6" t="n"/>
      <c r="O51" s="6" t="n"/>
      <c r="P51" s="6" t="n"/>
    </row>
    <row r="52">
      <c r="A52" s="6" t="n"/>
      <c r="B52" s="6" t="n"/>
      <c r="C52" s="6" t="n"/>
      <c r="D52" s="6" t="n"/>
      <c r="E52" s="6" t="n"/>
      <c r="F52" s="6" t="n"/>
      <c r="G52" s="6" t="n"/>
      <c r="H52" s="6" t="n"/>
      <c r="I52" s="6" t="n"/>
      <c r="J52" s="6" t="n"/>
      <c r="K52" s="6" t="n"/>
      <c r="L52" s="28" t="inlineStr">
        <is>
          <t>Loyer demandé le plus élevé</t>
        </is>
      </c>
      <c r="N52" s="69">
        <f>_xlfn.MAXIFS(T_Loyer,T_Est,"Demandé",T_Periode,"2026 T2")</f>
        <v/>
      </c>
      <c r="O52" s="70">
        <f>INDEX(V_Noms,MATCH(N52,Calculs!$G$112:$G$127,0))</f>
        <v/>
      </c>
      <c r="P52" s="6" t="n"/>
    </row>
    <row r="53">
      <c r="A53" s="6" t="n"/>
      <c r="B53" s="6" t="n"/>
      <c r="C53" s="6" t="n"/>
      <c r="D53" s="6" t="n"/>
      <c r="E53" s="6" t="n"/>
      <c r="F53" s="6" t="n"/>
      <c r="G53" s="6" t="n"/>
      <c r="H53" s="6" t="n"/>
      <c r="I53" s="6" t="n"/>
      <c r="J53" s="6" t="n"/>
      <c r="K53" s="6" t="n"/>
      <c r="L53" s="28" t="inlineStr">
        <is>
          <t>Loyer demandé le plus bas</t>
        </is>
      </c>
      <c r="N53" s="69">
        <f>_xlfn.MINIFS(T_Loyer,T_Est,"Demandé",T_Periode,"2026 T2")</f>
        <v/>
      </c>
      <c r="O53" s="70">
        <f>INDEX(V_Noms,MATCH(N53,Calculs!$G$112:$G$127,0))</f>
        <v/>
      </c>
      <c r="P53" s="6" t="n"/>
    </row>
    <row r="54">
      <c r="A54" s="6" t="n"/>
      <c r="B54" s="6" t="n"/>
      <c r="C54" s="6" t="n"/>
      <c r="D54" s="6" t="n"/>
      <c r="E54" s="6" t="n"/>
      <c r="F54" s="6" t="n"/>
      <c r="G54" s="6" t="n"/>
      <c r="H54" s="6" t="n"/>
      <c r="I54" s="6" t="n"/>
      <c r="J54" s="6" t="n"/>
      <c r="K54" s="6" t="n"/>
      <c r="L54" s="6" t="n"/>
      <c r="M54" s="6" t="n"/>
      <c r="N54" s="6" t="n"/>
      <c r="O54" s="6" t="n"/>
      <c r="P54" s="6" t="n"/>
    </row>
    <row r="55">
      <c r="A55" s="6" t="n"/>
      <c r="B55" s="6" t="n"/>
      <c r="C55" s="6" t="n"/>
      <c r="D55" s="6" t="n"/>
      <c r="E55" s="6" t="n"/>
      <c r="F55" s="6" t="n"/>
      <c r="G55" s="6" t="n"/>
      <c r="H55" s="6" t="n"/>
      <c r="I55" s="6" t="n"/>
      <c r="J55" s="6" t="n"/>
      <c r="K55" s="6" t="n"/>
      <c r="L55" s="6" t="n"/>
      <c r="M55" s="6" t="n"/>
      <c r="N55" s="6" t="n"/>
      <c r="O55" s="6" t="n"/>
      <c r="P55" s="6" t="n"/>
    </row>
    <row r="56">
      <c r="A56" s="6" t="n"/>
      <c r="B56" s="6" t="n"/>
      <c r="C56" s="6" t="n"/>
      <c r="D56" s="6" t="n"/>
      <c r="E56" s="6" t="n"/>
      <c r="F56" s="6" t="n"/>
      <c r="G56" s="6" t="n"/>
      <c r="H56" s="6" t="n"/>
      <c r="I56" s="6" t="n"/>
      <c r="J56" s="6" t="n"/>
      <c r="K56" s="6" t="n"/>
      <c r="L56" s="6" t="n"/>
      <c r="M56" s="6" t="n"/>
      <c r="N56" s="6" t="n"/>
      <c r="O56" s="6" t="n"/>
      <c r="P56" s="6" t="n"/>
    </row>
    <row r="57">
      <c r="A57" s="6" t="n"/>
      <c r="B57" s="6" t="n"/>
      <c r="C57" s="6" t="n"/>
      <c r="D57" s="6" t="n"/>
      <c r="E57" s="6" t="n"/>
      <c r="F57" s="6" t="n"/>
      <c r="G57" s="6" t="n"/>
      <c r="H57" s="6" t="n"/>
      <c r="I57" s="6" t="n"/>
      <c r="J57" s="6" t="n"/>
      <c r="K57" s="6" t="n"/>
      <c r="L57" s="6" t="n"/>
      <c r="M57" s="6" t="n"/>
      <c r="N57" s="6" t="n"/>
      <c r="O57" s="6" t="n"/>
      <c r="P57" s="6" t="n"/>
    </row>
    <row r="58">
      <c r="A58" s="6" t="n"/>
      <c r="B58" s="42" t="inlineStr">
        <is>
          <t>Positions : projection conique conforme de Lambert (src/geo.py). Contours : Natural Earth. Estimations expérimentales de Statistique Canada (46-10-0092-01).</t>
        </is>
      </c>
      <c r="C58" s="6" t="n"/>
      <c r="D58" s="6" t="n"/>
      <c r="E58" s="6" t="n"/>
      <c r="F58" s="6" t="n"/>
      <c r="G58" s="6" t="n"/>
      <c r="H58" s="6" t="n"/>
      <c r="I58" s="6" t="n"/>
      <c r="J58" s="6" t="n"/>
      <c r="K58" s="6" t="n"/>
      <c r="L58" s="6" t="n"/>
      <c r="M58" s="6" t="n"/>
      <c r="N58" s="6" t="n"/>
      <c r="O58" s="6" t="n"/>
      <c r="P58" s="6" t="n"/>
    </row>
    <row r="59">
      <c r="A59" s="6" t="n"/>
      <c r="B59" s="6" t="n"/>
      <c r="C59" s="6" t="n"/>
      <c r="D59" s="6" t="n"/>
      <c r="E59" s="6" t="n"/>
      <c r="F59" s="6" t="n"/>
      <c r="G59" s="6" t="n"/>
      <c r="H59" s="6" t="n"/>
      <c r="I59" s="6" t="n"/>
      <c r="J59" s="6" t="n"/>
      <c r="K59" s="6" t="n"/>
      <c r="L59" s="6" t="n"/>
      <c r="M59" s="6" t="n"/>
      <c r="N59" s="6" t="n"/>
      <c r="O59" s="6" t="n"/>
      <c r="P59" s="6" t="n"/>
    </row>
    <row r="60">
      <c r="A60" s="6" t="n"/>
      <c r="B60" s="6" t="n"/>
      <c r="C60" s="6" t="n"/>
      <c r="D60" s="6" t="n"/>
      <c r="E60" s="6" t="n"/>
      <c r="F60" s="6" t="n"/>
      <c r="G60" s="6" t="n"/>
      <c r="H60" s="6" t="n"/>
      <c r="I60" s="6" t="n"/>
      <c r="J60" s="6" t="n"/>
      <c r="K60" s="6" t="n"/>
      <c r="L60" s="6" t="n"/>
      <c r="M60" s="6" t="n"/>
      <c r="N60" s="6" t="n"/>
      <c r="O60" s="6" t="n"/>
      <c r="P60" s="6" t="n"/>
    </row>
  </sheetData>
  <mergeCells count="18">
    <mergeCell ref="B6:C6"/>
    <mergeCell ref="D6:H6"/>
    <mergeCell ref="L12:M12"/>
    <mergeCell ref="N11:O11"/>
    <mergeCell ref="N12:O12"/>
    <mergeCell ref="L9:O9"/>
    <mergeCell ref="L52:M52"/>
    <mergeCell ref="B5:C5"/>
    <mergeCell ref="L10:M10"/>
    <mergeCell ref="N10:O10"/>
    <mergeCell ref="D5:H5"/>
    <mergeCell ref="L11:M11"/>
    <mergeCell ref="L15:O15"/>
    <mergeCell ref="L53:M53"/>
    <mergeCell ref="L14:M14"/>
    <mergeCell ref="N13:O13"/>
    <mergeCell ref="L13:M13"/>
    <mergeCell ref="N14:O14"/>
  </mergeCells>
  <conditionalFormatting sqref="N26:N35">
    <cfRule type="dataBar" priority="1">
      <dataBar showValue="0">
        <cfvo type="min"/>
        <cfvo type="max"/>
        <color rgb="009CCBF2"/>
      </dataBar>
    </cfRule>
  </conditionalFormatting>
  <conditionalFormatting sqref="L26:O35">
    <cfRule type="expression" priority="2" dxfId="0">
      <formula>$L26=VilleSel</formula>
    </cfRule>
  </conditionalFormatting>
  <dataValidations count="2">
    <dataValidation sqref="D5" showDropDown="0" showInputMessage="0" showErrorMessage="1" allowBlank="0" type="list">
      <formula1>ListeIndVille</formula1>
    </dataValidation>
    <dataValidation sqref="D6" showDropDown="0" showInputMessage="0" showErrorMessage="1" allowBlank="0" type="list">
      <formula1>V_Noms</formula1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tabColor rgb="00E0457B"/>
    <outlinePr summaryBelow="1" summaryRight="1"/>
    <pageSetUpPr fitToPage="1"/>
  </sheetPr>
  <dimension ref="A1:U40"/>
  <sheetViews>
    <sheetView showGridLines="0" tabSelected="0" workbookViewId="0">
      <selection activeCell="A1" sqref="A1"/>
    </sheetView>
  </sheetViews>
  <sheetFormatPr baseColWidth="8" defaultRowHeight="15"/>
  <cols>
    <col width="2" customWidth="1" min="1" max="1"/>
    <col width="10" customWidth="1" min="2" max="2"/>
    <col width="18" customWidth="1" min="3" max="3"/>
    <col width="38" customWidth="1" min="4" max="4"/>
    <col width="18" customWidth="1" min="5" max="5"/>
    <col width="16" customWidth="1" min="6" max="6"/>
    <col width="12" customWidth="1" min="7" max="7"/>
    <col width="24" customWidth="1" min="8" max="8"/>
  </cols>
  <sheetData>
    <row r="1" ht="34" customHeight="1">
      <c r="A1" s="1" t="n"/>
      <c r="B1" s="30" t="inlineStr">
        <is>
          <t>Scénarios : quand le loyer moyen rattrapera-t-il les annonces 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31">
        <f>HYPERLINK("#'Accueil'!A1","← Accueil")</f>
        <v/>
      </c>
    </row>
    <row r="2" ht="20" customHeight="1">
      <c r="A2" s="1" t="n"/>
      <c r="B2" s="3" t="inlineStr">
        <is>
          <t>Loyer moyen d'un 2 chambres à Montréal · trois hypothèses tirées des données · des scénarios pour raisonner, pas une prévision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4" t="n"/>
      <c r="K3" s="4" t="n"/>
      <c r="L3" s="4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  <c r="O4" s="6" t="n"/>
      <c r="P4" s="6" t="n"/>
      <c r="Q4" s="6" t="n"/>
      <c r="R4" s="6" t="n"/>
      <c r="S4" s="6" t="n"/>
      <c r="T4" s="6" t="n"/>
      <c r="U4" s="6" t="n"/>
    </row>
    <row r="5">
      <c r="A5" s="6" t="n"/>
      <c r="B5" s="45" t="inlineStr">
        <is>
          <t>POINT DE DÉPART</t>
        </is>
      </c>
      <c r="C5" s="6" t="n"/>
      <c r="D5" s="6" t="n"/>
      <c r="E5" s="6" t="n"/>
      <c r="F5" s="6" t="n"/>
      <c r="G5" s="6" t="n"/>
      <c r="H5" s="6" t="n"/>
      <c r="I5" s="6" t="n"/>
      <c r="J5" s="6" t="n"/>
      <c r="K5" s="6" t="n"/>
      <c r="L5" s="6" t="n"/>
      <c r="M5" s="6" t="n"/>
      <c r="N5" s="6" t="n"/>
      <c r="O5" s="6" t="n"/>
      <c r="P5" s="6" t="n"/>
      <c r="Q5" s="6" t="n"/>
      <c r="R5" s="6" t="n"/>
      <c r="S5" s="6" t="n"/>
      <c r="T5" s="6" t="n"/>
      <c r="U5" s="6" t="n"/>
    </row>
    <row r="6">
      <c r="A6" s="6" t="n"/>
      <c r="B6" s="6" t="inlineStr">
        <is>
          <t>Loyer moyen 2025, tous les locataires</t>
        </is>
      </c>
      <c r="C6" s="6" t="n"/>
      <c r="D6" s="6" t="n"/>
      <c r="E6" s="71">
        <f>SUMIFS(Loyers_Montant,Loyers_Annee,2025,Loyers_Type,"2 chambres")</f>
        <v/>
      </c>
      <c r="F6" s="6" t="n"/>
      <c r="G6" s="6" t="n"/>
      <c r="H6" s="6" t="n"/>
      <c r="I6" s="6" t="n"/>
      <c r="J6" s="6" t="n"/>
      <c r="K6" s="6" t="n"/>
      <c r="L6" s="6" t="n"/>
      <c r="M6" s="6" t="n"/>
      <c r="N6" s="6" t="n"/>
      <c r="O6" s="6" t="n"/>
      <c r="P6" s="6" t="n"/>
      <c r="Q6" s="6" t="n"/>
      <c r="R6" s="6" t="n"/>
      <c r="S6" s="6" t="n"/>
      <c r="T6" s="6" t="n"/>
      <c r="U6" s="6" t="n"/>
    </row>
    <row r="7">
      <c r="A7" s="6" t="n"/>
      <c r="B7" s="6" t="inlineStr">
        <is>
          <t>Loyer demandé dans les annonces, 2026 T2</t>
        </is>
      </c>
      <c r="C7" s="6" t="n"/>
      <c r="D7" s="6" t="n"/>
      <c r="E7" s="71">
        <f>SUMIFS(T_Loyer,T_ID,7,T_Est,"Demandé",T_Periode,"2026 T2")</f>
        <v/>
      </c>
      <c r="F7" s="6" t="n"/>
      <c r="G7" s="6" t="n"/>
      <c r="H7" s="6" t="n"/>
      <c r="I7" s="6" t="n"/>
      <c r="J7" s="6" t="n"/>
      <c r="K7" s="6" t="n"/>
      <c r="L7" s="6" t="n"/>
      <c r="M7" s="6" t="n"/>
      <c r="N7" s="6" t="n"/>
      <c r="O7" s="6" t="n"/>
      <c r="P7" s="6" t="n"/>
      <c r="Q7" s="6" t="n"/>
      <c r="R7" s="6" t="n"/>
      <c r="S7" s="6" t="n"/>
      <c r="T7" s="6" t="n"/>
      <c r="U7" s="6" t="n"/>
    </row>
    <row r="8">
      <c r="A8" s="6" t="n"/>
      <c r="B8" s="6" t="n"/>
      <c r="C8" s="6" t="n"/>
      <c r="D8" s="6" t="n"/>
      <c r="E8" s="6" t="n"/>
      <c r="F8" s="6" t="n"/>
      <c r="G8" s="6" t="n"/>
      <c r="H8" s="6" t="n"/>
      <c r="I8" s="6" t="n"/>
      <c r="J8" s="6" t="n"/>
      <c r="K8" s="6" t="n"/>
      <c r="L8" s="6" t="n"/>
      <c r="M8" s="6" t="n"/>
      <c r="N8" s="6" t="n"/>
      <c r="O8" s="6" t="n"/>
      <c r="P8" s="6" t="n"/>
      <c r="Q8" s="6" t="n"/>
      <c r="R8" s="6" t="n"/>
      <c r="S8" s="6" t="n"/>
      <c r="T8" s="6" t="n"/>
      <c r="U8" s="6" t="n"/>
    </row>
    <row r="9">
      <c r="A9" s="6" t="n"/>
      <c r="B9" s="45" t="inlineStr">
        <is>
          <t>HYPOTHÈSES DE CROISSANCE ANNUELLE</t>
        </is>
      </c>
      <c r="C9" s="6" t="n"/>
      <c r="D9" s="6" t="n"/>
      <c r="E9" s="6" t="n"/>
      <c r="F9" s="6" t="n"/>
      <c r="G9" s="6" t="n"/>
      <c r="H9" s="6" t="n"/>
      <c r="I9" s="6" t="n"/>
      <c r="J9" s="6" t="n"/>
      <c r="K9" s="6" t="n"/>
      <c r="L9" s="6" t="n"/>
      <c r="M9" s="6" t="n"/>
      <c r="N9" s="6" t="n"/>
      <c r="O9" s="6" t="n"/>
      <c r="P9" s="6" t="n"/>
      <c r="Q9" s="6" t="n"/>
      <c r="R9" s="6" t="n"/>
      <c r="S9" s="6" t="n"/>
      <c r="T9" s="6" t="n"/>
      <c r="U9" s="6" t="n"/>
    </row>
    <row r="10" ht="30" customHeight="1">
      <c r="A10" s="6" t="n"/>
      <c r="B10" s="46" t="inlineStr">
        <is>
          <t>Scénario</t>
        </is>
      </c>
      <c r="C10" s="72" t="n"/>
      <c r="D10" s="46" t="inlineStr">
        <is>
          <t>Source du taux</t>
        </is>
      </c>
      <c r="E10" s="46" t="inlineStr">
        <is>
          <t>Taux tiré des données</t>
        </is>
      </c>
      <c r="F10" s="46" t="inlineStr">
        <is>
          <t>Ajustement (points)</t>
        </is>
      </c>
      <c r="G10" s="46" t="inlineStr">
        <is>
          <t>Taux retenu</t>
        </is>
      </c>
      <c r="H10" s="46" t="inlineStr">
        <is>
          <t>Rattrape les annonces en</t>
        </is>
      </c>
      <c r="I10" s="6" t="n"/>
      <c r="J10" s="6" t="n"/>
      <c r="K10" s="6" t="n"/>
      <c r="L10" s="6" t="n"/>
      <c r="M10" s="6" t="n"/>
      <c r="N10" s="6" t="n"/>
      <c r="O10" s="6" t="n"/>
      <c r="P10" s="6" t="n"/>
      <c r="Q10" s="6" t="n"/>
      <c r="R10" s="6" t="n"/>
      <c r="S10" s="6" t="n"/>
      <c r="T10" s="6" t="n"/>
      <c r="U10" s="6" t="n"/>
    </row>
    <row r="11">
      <c r="A11" s="6" t="n"/>
      <c r="B11" s="73" t="inlineStr">
        <is>
          <t>A · Tendance longue</t>
        </is>
      </c>
      <c r="C11" s="74" t="n"/>
      <c r="D11" s="75" t="inlineStr">
        <is>
          <t>Croissance annuelle composée 1992-2019</t>
        </is>
      </c>
      <c r="E11" s="76">
        <f>(SUMIFS(Loyers_Montant,Loyers_Annee,2019,Loyers_Type,"2 chambres")/SUMIFS(Loyers_Montant,Loyers_Annee,1992,Loyers_Type,"2 chambres"))^(1/27)-1</f>
        <v/>
      </c>
      <c r="F11" s="77" t="n">
        <v>0</v>
      </c>
      <c r="G11" s="76">
        <f>E11+F11</f>
        <v/>
      </c>
      <c r="H11" s="78">
        <f>IF(G11&lt;=0,"jamais",ROUNDUP(NPER(G11,0,-$E$6,$E$7),0)&amp;" ans ("&amp;(2025+ROUNDUP(NPER(G11,0,-$E$6,$E$7),0))&amp;")")</f>
        <v/>
      </c>
      <c r="I11" s="6" t="n"/>
      <c r="J11" s="6" t="n"/>
      <c r="K11" s="6" t="n"/>
      <c r="L11" s="6" t="n"/>
      <c r="M11" s="6" t="n"/>
      <c r="N11" s="6" t="n"/>
      <c r="O11" s="6" t="n"/>
      <c r="P11" s="6" t="n"/>
      <c r="Q11" s="6" t="n"/>
      <c r="R11" s="6" t="n"/>
      <c r="S11" s="6" t="n"/>
      <c r="T11" s="6" t="n"/>
      <c r="U11" s="6" t="n"/>
    </row>
    <row r="12">
      <c r="A12" s="6" t="n"/>
      <c r="B12" s="73" t="inlineStr">
        <is>
          <t>B · Locataires en place</t>
        </is>
      </c>
      <c r="C12" s="74" t="n"/>
      <c r="D12" s="75" t="inlineStr">
        <is>
          <t>Hausse 2025 des loyers non reloués (SCHL)</t>
        </is>
      </c>
      <c r="E12" s="76">
        <f>SUMIFS(SCHL_Valeur,SCHL_Annee,2025,SCHL_Indic,"hausse_loyer_non_reloues_2ch")/100</f>
        <v/>
      </c>
      <c r="F12" s="77" t="n">
        <v>0</v>
      </c>
      <c r="G12" s="76">
        <f>E12+F12</f>
        <v/>
      </c>
      <c r="H12" s="78">
        <f>IF(G12&lt;=0,"jamais",ROUNDUP(NPER(G12,0,-$E$6,$E$7),0)&amp;" ans ("&amp;(2025+ROUNDUP(NPER(G12,0,-$E$6,$E$7),0))&amp;")")</f>
        <v/>
      </c>
      <c r="I12" s="6" t="n"/>
      <c r="J12" s="6" t="n"/>
      <c r="K12" s="6" t="n"/>
      <c r="L12" s="6" t="n"/>
      <c r="M12" s="6" t="n"/>
      <c r="N12" s="6" t="n"/>
      <c r="O12" s="6" t="n"/>
      <c r="P12" s="6" t="n"/>
      <c r="Q12" s="6" t="n"/>
      <c r="R12" s="6" t="n"/>
      <c r="S12" s="6" t="n"/>
      <c r="T12" s="6" t="n"/>
      <c r="U12" s="6" t="n"/>
    </row>
    <row r="13">
      <c r="A13" s="6" t="n"/>
      <c r="B13" s="73" t="inlineStr">
        <is>
          <t>C · Rythme récent</t>
        </is>
      </c>
      <c r="C13" s="74" t="n"/>
      <c r="D13" s="75" t="inlineStr">
        <is>
          <t>Croissance annuelle composée 2019-2025</t>
        </is>
      </c>
      <c r="E13" s="76">
        <f>(SUMIFS(Loyers_Montant,Loyers_Annee,2025,Loyers_Type,"2 chambres")/SUMIFS(Loyers_Montant,Loyers_Annee,2019,Loyers_Type,"2 chambres"))^(1/6)-1</f>
        <v/>
      </c>
      <c r="F13" s="77" t="n">
        <v>0</v>
      </c>
      <c r="G13" s="76">
        <f>E13+F13</f>
        <v/>
      </c>
      <c r="H13" s="78">
        <f>IF(G13&lt;=0,"jamais",ROUNDUP(NPER(G13,0,-$E$6,$E$7),0)&amp;" ans ("&amp;(2025+ROUNDUP(NPER(G13,0,-$E$6,$E$7),0))&amp;")")</f>
        <v/>
      </c>
      <c r="I13" s="6" t="n"/>
      <c r="J13" s="6" t="n"/>
      <c r="K13" s="6" t="n"/>
      <c r="L13" s="6" t="n"/>
      <c r="M13" s="6" t="n"/>
      <c r="N13" s="6" t="n"/>
      <c r="O13" s="6" t="n"/>
      <c r="P13" s="6" t="n"/>
      <c r="Q13" s="6" t="n"/>
      <c r="R13" s="6" t="n"/>
      <c r="S13" s="6" t="n"/>
      <c r="T13" s="6" t="n"/>
      <c r="U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N14" s="6" t="n"/>
      <c r="O14" s="6" t="n"/>
      <c r="P14" s="6" t="n"/>
      <c r="Q14" s="6" t="n"/>
      <c r="R14" s="6" t="n"/>
      <c r="S14" s="6" t="n"/>
      <c r="T14" s="6" t="n"/>
      <c r="U14" s="6" t="n"/>
    </row>
    <row r="15">
      <c r="A15" s="6" t="n"/>
      <c r="B15" s="42" t="inlineStr">
        <is>
          <t>« Rattrape les annonces » : années pour que le loyer moyen atteigne le loyer affiché aujourd'hui (fonction NPM).</t>
        </is>
      </c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" t="n"/>
      <c r="M15" s="6" t="n"/>
      <c r="N15" s="6" t="n"/>
      <c r="O15" s="6" t="n"/>
      <c r="P15" s="6" t="n"/>
      <c r="Q15" s="6" t="n"/>
      <c r="R15" s="6" t="n"/>
      <c r="S15" s="6" t="n"/>
      <c r="T15" s="6" t="n"/>
      <c r="U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  <c r="O16" s="6" t="n"/>
      <c r="P16" s="6" t="n"/>
      <c r="Q16" s="6" t="n"/>
      <c r="R16" s="6" t="n"/>
      <c r="S16" s="6" t="n"/>
      <c r="T16" s="6" t="n"/>
      <c r="U16" s="6" t="n"/>
    </row>
    <row r="17" ht="30" customHeight="1">
      <c r="A17" s="6" t="n"/>
      <c r="B17" s="46" t="inlineStr">
        <is>
          <t>Année</t>
        </is>
      </c>
      <c r="C17" s="46" t="inlineStr">
        <is>
          <t>Loyer moyen</t>
        </is>
      </c>
      <c r="D17" s="6" t="n"/>
      <c r="E17" s="46" t="inlineStr">
        <is>
          <t>Année</t>
        </is>
      </c>
      <c r="F17" s="46" t="inlineStr">
        <is>
          <t>A · Tendance</t>
        </is>
      </c>
      <c r="G17" s="46" t="inlineStr">
        <is>
          <t>B · En place</t>
        </is>
      </c>
      <c r="H17" s="46" t="inlineStr">
        <is>
          <t>C · Récent</t>
        </is>
      </c>
      <c r="I17" s="6" t="n"/>
      <c r="J17" s="6" t="n"/>
      <c r="K17" s="6" t="n"/>
      <c r="L17" s="6" t="n"/>
      <c r="M17" s="6" t="n"/>
      <c r="N17" s="6" t="n"/>
      <c r="O17" s="6" t="n"/>
      <c r="P17" s="6" t="n"/>
      <c r="Q17" s="6" t="n"/>
      <c r="R17" s="6" t="n"/>
      <c r="S17" s="6" t="n"/>
      <c r="T17" s="6" t="n"/>
      <c r="U17" s="6" t="n"/>
    </row>
    <row r="18">
      <c r="A18" s="6" t="n"/>
      <c r="B18" s="79" t="inlineStr">
        <is>
          <t>2015</t>
        </is>
      </c>
      <c r="C18" s="80">
        <f>SUMIFS(Loyers_Montant,Loyers_Annee,2015,Loyers_Type,"2 chambres")</f>
        <v/>
      </c>
      <c r="D18" s="6" t="n"/>
      <c r="E18" s="79" t="inlineStr">
        <is>
          <t>2026</t>
        </is>
      </c>
      <c r="F18" s="80">
        <f>$E$6*(1+$G$11)^(2026-2025)</f>
        <v/>
      </c>
      <c r="G18" s="80">
        <f>$E$6*(1+$G$12)^(2026-2025)</f>
        <v/>
      </c>
      <c r="H18" s="80">
        <f>$E$6*(1+$G$13)^(2026-2025)</f>
        <v/>
      </c>
      <c r="I18" s="6" t="n"/>
      <c r="J18" s="6" t="n"/>
      <c r="K18" s="6" t="n"/>
      <c r="L18" s="6" t="n"/>
      <c r="M18" s="6" t="n"/>
      <c r="N18" s="6" t="n"/>
      <c r="O18" s="6" t="n"/>
      <c r="P18" s="6" t="n"/>
      <c r="Q18" s="6" t="n"/>
      <c r="R18" s="6" t="n"/>
      <c r="S18" s="6" t="n"/>
      <c r="T18" s="6" t="n"/>
      <c r="U18" s="6" t="n"/>
    </row>
    <row r="19">
      <c r="A19" s="6" t="n"/>
      <c r="B19" s="79" t="inlineStr">
        <is>
          <t>2016</t>
        </is>
      </c>
      <c r="C19" s="80">
        <f>SUMIFS(Loyers_Montant,Loyers_Annee,2016,Loyers_Type,"2 chambres")</f>
        <v/>
      </c>
      <c r="D19" s="6" t="n"/>
      <c r="E19" s="79" t="inlineStr">
        <is>
          <t>2027</t>
        </is>
      </c>
      <c r="F19" s="80">
        <f>$E$6*(1+$G$11)^(2027-2025)</f>
        <v/>
      </c>
      <c r="G19" s="80">
        <f>$E$6*(1+$G$12)^(2027-2025)</f>
        <v/>
      </c>
      <c r="H19" s="80">
        <f>$E$6*(1+$G$13)^(2027-2025)</f>
        <v/>
      </c>
      <c r="I19" s="6" t="n"/>
      <c r="J19" s="6" t="n"/>
      <c r="K19" s="6" t="n"/>
      <c r="L19" s="6" t="n"/>
      <c r="M19" s="6" t="n"/>
      <c r="N19" s="6" t="n"/>
      <c r="O19" s="6" t="n"/>
      <c r="P19" s="6" t="n"/>
      <c r="Q19" s="6" t="n"/>
      <c r="R19" s="6" t="n"/>
      <c r="S19" s="6" t="n"/>
      <c r="T19" s="6" t="n"/>
      <c r="U19" s="6" t="n"/>
    </row>
    <row r="20">
      <c r="A20" s="6" t="n"/>
      <c r="B20" s="79" t="inlineStr">
        <is>
          <t>2017</t>
        </is>
      </c>
      <c r="C20" s="80">
        <f>SUMIFS(Loyers_Montant,Loyers_Annee,2017,Loyers_Type,"2 chambres")</f>
        <v/>
      </c>
      <c r="D20" s="6" t="n"/>
      <c r="E20" s="79" t="inlineStr">
        <is>
          <t>2028</t>
        </is>
      </c>
      <c r="F20" s="80">
        <f>$E$6*(1+$G$11)^(2028-2025)</f>
        <v/>
      </c>
      <c r="G20" s="80">
        <f>$E$6*(1+$G$12)^(2028-2025)</f>
        <v/>
      </c>
      <c r="H20" s="80">
        <f>$E$6*(1+$G$13)^(2028-2025)</f>
        <v/>
      </c>
      <c r="I20" s="6" t="n"/>
      <c r="J20" s="6" t="n"/>
      <c r="K20" s="6" t="n"/>
      <c r="L20" s="6" t="n"/>
      <c r="M20" s="6" t="n"/>
      <c r="N20" s="6" t="n"/>
      <c r="O20" s="6" t="n"/>
      <c r="P20" s="6" t="n"/>
      <c r="Q20" s="6" t="n"/>
      <c r="R20" s="6" t="n"/>
      <c r="S20" s="6" t="n"/>
      <c r="T20" s="6" t="n"/>
      <c r="U20" s="6" t="n"/>
    </row>
    <row r="21">
      <c r="A21" s="6" t="n"/>
      <c r="B21" s="79" t="inlineStr">
        <is>
          <t>2018</t>
        </is>
      </c>
      <c r="C21" s="80">
        <f>SUMIFS(Loyers_Montant,Loyers_Annee,2018,Loyers_Type,"2 chambres")</f>
        <v/>
      </c>
      <c r="D21" s="6" t="n"/>
      <c r="E21" s="79" t="inlineStr">
        <is>
          <t>2029</t>
        </is>
      </c>
      <c r="F21" s="80">
        <f>$E$6*(1+$G$11)^(2029-2025)</f>
        <v/>
      </c>
      <c r="G21" s="80">
        <f>$E$6*(1+$G$12)^(2029-2025)</f>
        <v/>
      </c>
      <c r="H21" s="80">
        <f>$E$6*(1+$G$13)^(2029-2025)</f>
        <v/>
      </c>
      <c r="I21" s="6" t="n"/>
      <c r="J21" s="6" t="n"/>
      <c r="K21" s="6" t="n"/>
      <c r="L21" s="6" t="n"/>
      <c r="M21" s="6" t="n"/>
      <c r="N21" s="6" t="n"/>
      <c r="O21" s="6" t="n"/>
      <c r="P21" s="6" t="n"/>
      <c r="Q21" s="6" t="n"/>
      <c r="R21" s="6" t="n"/>
      <c r="S21" s="6" t="n"/>
      <c r="T21" s="6" t="n"/>
      <c r="U21" s="6" t="n"/>
    </row>
    <row r="22">
      <c r="A22" s="6" t="n"/>
      <c r="B22" s="79" t="inlineStr">
        <is>
          <t>2019</t>
        </is>
      </c>
      <c r="C22" s="80">
        <f>SUMIFS(Loyers_Montant,Loyers_Annee,2019,Loyers_Type,"2 chambres")</f>
        <v/>
      </c>
      <c r="D22" s="6" t="n"/>
      <c r="E22" s="79" t="inlineStr">
        <is>
          <t>2030</t>
        </is>
      </c>
      <c r="F22" s="80">
        <f>$E$6*(1+$G$11)^(2030-2025)</f>
        <v/>
      </c>
      <c r="G22" s="80">
        <f>$E$6*(1+$G$12)^(2030-2025)</f>
        <v/>
      </c>
      <c r="H22" s="80">
        <f>$E$6*(1+$G$13)^(2030-2025)</f>
        <v/>
      </c>
      <c r="I22" s="6" t="n"/>
      <c r="J22" s="6" t="n"/>
      <c r="K22" s="6" t="n"/>
      <c r="L22" s="6" t="n"/>
      <c r="M22" s="6" t="n"/>
      <c r="N22" s="6" t="n"/>
      <c r="O22" s="6" t="n"/>
      <c r="P22" s="6" t="n"/>
      <c r="Q22" s="6" t="n"/>
      <c r="R22" s="6" t="n"/>
      <c r="S22" s="6" t="n"/>
      <c r="T22" s="6" t="n"/>
      <c r="U22" s="6" t="n"/>
    </row>
    <row r="23">
      <c r="A23" s="6" t="n"/>
      <c r="B23" s="79" t="inlineStr">
        <is>
          <t>2020</t>
        </is>
      </c>
      <c r="C23" s="80">
        <f>SUMIFS(Loyers_Montant,Loyers_Annee,2020,Loyers_Type,"2 chambres")</f>
        <v/>
      </c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S23" s="6" t="n"/>
      <c r="T23" s="6" t="n"/>
      <c r="U23" s="6" t="n"/>
    </row>
    <row r="24">
      <c r="A24" s="6" t="n"/>
      <c r="B24" s="79" t="inlineStr">
        <is>
          <t>2021</t>
        </is>
      </c>
      <c r="C24" s="80">
        <f>SUMIFS(Loyers_Montant,Loyers_Annee,2021,Loyers_Type,"2 chambres")</f>
        <v/>
      </c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  <c r="O24" s="6" t="n"/>
      <c r="P24" s="6" t="n"/>
      <c r="Q24" s="6" t="n"/>
      <c r="R24" s="6" t="n"/>
      <c r="S24" s="6" t="n"/>
      <c r="T24" s="6" t="n"/>
      <c r="U24" s="6" t="n"/>
    </row>
    <row r="25">
      <c r="A25" s="6" t="n"/>
      <c r="B25" s="79" t="inlineStr">
        <is>
          <t>2022</t>
        </is>
      </c>
      <c r="C25" s="80">
        <f>SUMIFS(Loyers_Montant,Loyers_Annee,2022,Loyers_Type,"2 chambres")</f>
        <v/>
      </c>
      <c r="D25" s="6" t="n"/>
      <c r="E25" s="6" t="n"/>
      <c r="F25" s="6" t="n"/>
      <c r="G25" s="6" t="n"/>
      <c r="H25" s="6" t="n"/>
      <c r="I25" s="6" t="n"/>
      <c r="J25" s="6" t="n"/>
      <c r="K25" s="6" t="n"/>
      <c r="L25" s="6" t="n"/>
      <c r="M25" s="6" t="n"/>
      <c r="N25" s="6" t="n"/>
      <c r="O25" s="6" t="n"/>
      <c r="P25" s="6" t="n"/>
      <c r="Q25" s="6" t="n"/>
      <c r="R25" s="6" t="n"/>
      <c r="S25" s="6" t="n"/>
      <c r="T25" s="6" t="n"/>
      <c r="U25" s="6" t="n"/>
    </row>
    <row r="26">
      <c r="A26" s="6" t="n"/>
      <c r="B26" s="79" t="inlineStr">
        <is>
          <t>2023</t>
        </is>
      </c>
      <c r="C26" s="80">
        <f>SUMIFS(Loyers_Montant,Loyers_Annee,2023,Loyers_Type,"2 chambres")</f>
        <v/>
      </c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  <c r="O26" s="6" t="n"/>
      <c r="P26" s="6" t="n"/>
      <c r="Q26" s="6" t="n"/>
      <c r="R26" s="6" t="n"/>
      <c r="S26" s="6" t="n"/>
      <c r="T26" s="6" t="n"/>
      <c r="U26" s="6" t="n"/>
    </row>
    <row r="27">
      <c r="A27" s="6" t="n"/>
      <c r="B27" s="79" t="inlineStr">
        <is>
          <t>2024</t>
        </is>
      </c>
      <c r="C27" s="80">
        <f>SUMIFS(Loyers_Montant,Loyers_Annee,2024,Loyers_Type,"2 chambres")</f>
        <v/>
      </c>
      <c r="D27" s="6" t="n"/>
      <c r="E27" s="6" t="n"/>
      <c r="F27" s="6" t="n"/>
      <c r="G27" s="6" t="n"/>
      <c r="H27" s="6" t="n"/>
      <c r="I27" s="6" t="n"/>
      <c r="J27" s="6" t="n"/>
      <c r="K27" s="6" t="n"/>
      <c r="L27" s="6" t="n"/>
      <c r="M27" s="6" t="n"/>
      <c r="N27" s="6" t="n"/>
      <c r="O27" s="6" t="n"/>
      <c r="P27" s="6" t="n"/>
      <c r="Q27" s="6" t="n"/>
      <c r="R27" s="6" t="n"/>
      <c r="S27" s="6" t="n"/>
      <c r="T27" s="6" t="n"/>
      <c r="U27" s="6" t="n"/>
    </row>
    <row r="28">
      <c r="A28" s="6" t="n"/>
      <c r="B28" s="79" t="inlineStr">
        <is>
          <t>2025</t>
        </is>
      </c>
      <c r="C28" s="80">
        <f>SUMIFS(Loyers_Montant,Loyers_Annee,2025,Loyers_Type,"2 chambres")</f>
        <v/>
      </c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  <c r="O28" s="6" t="n"/>
      <c r="P28" s="6" t="n"/>
      <c r="Q28" s="6" t="n"/>
      <c r="R28" s="6" t="n"/>
      <c r="S28" s="6" t="n"/>
      <c r="T28" s="6" t="n"/>
      <c r="U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  <c r="O29" s="6" t="n"/>
      <c r="P29" s="6" t="n"/>
      <c r="Q29" s="6" t="n"/>
      <c r="R29" s="6" t="n"/>
      <c r="S29" s="6" t="n"/>
      <c r="T29" s="6" t="n"/>
      <c r="U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  <c r="O30" s="6" t="n"/>
      <c r="P30" s="6" t="n"/>
      <c r="Q30" s="6" t="n"/>
      <c r="R30" s="6" t="n"/>
      <c r="S30" s="6" t="n"/>
      <c r="T30" s="6" t="n"/>
      <c r="U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  <c r="Q31" s="6" t="n"/>
      <c r="R31" s="6" t="n"/>
      <c r="S31" s="6" t="n"/>
      <c r="T31" s="6" t="n"/>
      <c r="U31" s="6" t="n"/>
    </row>
    <row r="32">
      <c r="A32" s="6" t="n"/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6" t="n"/>
      <c r="M32" s="6" t="n"/>
      <c r="N32" s="6" t="n"/>
      <c r="O32" s="6" t="n"/>
      <c r="P32" s="6" t="n"/>
      <c r="Q32" s="6" t="n"/>
      <c r="R32" s="6" t="n"/>
      <c r="S32" s="6" t="n"/>
      <c r="T32" s="6" t="n"/>
      <c r="U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  <c r="Q33" s="6" t="n"/>
      <c r="R33" s="6" t="n"/>
      <c r="S33" s="6" t="n"/>
      <c r="T33" s="6" t="n"/>
      <c r="U33" s="6" t="n"/>
    </row>
    <row r="34">
      <c r="A34" s="6" t="n"/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6" t="n"/>
      <c r="M34" s="6" t="n"/>
      <c r="N34" s="6" t="n"/>
      <c r="O34" s="6" t="n"/>
      <c r="P34" s="6" t="n"/>
      <c r="Q34" s="6" t="n"/>
      <c r="R34" s="6" t="n"/>
      <c r="S34" s="6" t="n"/>
      <c r="T34" s="6" t="n"/>
      <c r="U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  <c r="O35" s="6" t="n"/>
      <c r="P35" s="6" t="n"/>
      <c r="Q35" s="6" t="n"/>
      <c r="R35" s="6" t="n"/>
      <c r="S35" s="6" t="n"/>
      <c r="T35" s="6" t="n"/>
      <c r="U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  <c r="O36" s="6" t="n"/>
      <c r="P36" s="6" t="n"/>
      <c r="Q36" s="6" t="n"/>
      <c r="R36" s="6" t="n"/>
      <c r="S36" s="6" t="n"/>
      <c r="T36" s="6" t="n"/>
      <c r="U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  <c r="Q37" s="6" t="n"/>
      <c r="R37" s="6" t="n"/>
      <c r="S37" s="6" t="n"/>
      <c r="T37" s="6" t="n"/>
      <c r="U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  <c r="Q38" s="6" t="n"/>
      <c r="R38" s="6" t="n"/>
      <c r="S38" s="6" t="n"/>
      <c r="T38" s="6" t="n"/>
      <c r="U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  <c r="Q39" s="6" t="n"/>
      <c r="R39" s="6" t="n"/>
      <c r="S39" s="6" t="n"/>
      <c r="T39" s="6" t="n"/>
      <c r="U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  <c r="Q40" s="6" t="n"/>
      <c r="R40" s="6" t="n"/>
      <c r="S40" s="6" t="n"/>
      <c r="T40" s="6" t="n"/>
      <c r="U40" s="6" t="n"/>
    </row>
  </sheetData>
  <mergeCells count="4">
    <mergeCell ref="B11:C11"/>
    <mergeCell ref="B13:C13"/>
    <mergeCell ref="B10:C10"/>
    <mergeCell ref="B12:C12"/>
  </mergeCells>
  <conditionalFormatting sqref="G11:G13">
    <cfRule type="dataBar" priority="1">
      <dataBar>
        <cfvo type="num" val="0"/>
        <cfvo type="max"/>
        <color rgb="009CCBF2"/>
      </dataBar>
    </cfRule>
  </conditionalFormatting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>
    <tabColor rgb="002F86D6"/>
    <outlinePr summaryBelow="1" summaryRight="1"/>
    <pageSetUpPr fitToPage="1"/>
  </sheetPr>
  <dimension ref="A1:I24"/>
  <sheetViews>
    <sheetView showGridLines="0" tabSelected="0" workbookViewId="0">
      <selection activeCell="A1" sqref="A1"/>
    </sheetView>
  </sheetViews>
  <sheetFormatPr baseColWidth="8" defaultRowHeight="15"/>
  <cols>
    <col width="2" customWidth="1" min="1" max="1"/>
    <col width="48" customWidth="1" min="2" max="2"/>
    <col width="22" customWidth="1" min="3" max="3"/>
    <col width="52" customWidth="1" min="4" max="4"/>
    <col width="24" customWidth="1" min="6" max="6"/>
    <col width="12" customWidth="1" min="7" max="7"/>
  </cols>
  <sheetData>
    <row r="1" ht="34" customHeight="1">
      <c r="A1" s="1" t="n"/>
      <c r="B1" s="30" t="inlineStr">
        <is>
          <t>Simulateur : ton loyer face au marché montréalais</t>
        </is>
      </c>
      <c r="C1" s="1" t="n"/>
      <c r="D1" s="1" t="n"/>
      <c r="E1" s="1" t="n"/>
      <c r="F1" s="1" t="n"/>
      <c r="G1" s="1" t="n"/>
      <c r="H1" s="1" t="n"/>
      <c r="I1" s="31">
        <f>HYPERLINK("#'Accueil'!A1","← Accueil")</f>
        <v/>
      </c>
    </row>
    <row r="2" ht="20" customHeight="1">
      <c r="A2" s="1" t="n"/>
      <c r="B2" s="3" t="inlineStr">
        <is>
          <t>Modifie uniquement les cellules jaunes ; tout le reste se recalcule, y compris le graphique</t>
        </is>
      </c>
      <c r="C2" s="1" t="n"/>
      <c r="D2" s="1" t="n"/>
      <c r="E2" s="1" t="n"/>
      <c r="F2" s="1" t="n"/>
      <c r="G2" s="1" t="n"/>
      <c r="H2" s="1" t="n"/>
      <c r="I2" s="1" t="n"/>
    </row>
    <row r="3" ht="5" customHeight="1">
      <c r="A3" s="4" t="n"/>
      <c r="B3" s="4" t="n"/>
      <c r="C3" s="4" t="n"/>
      <c r="D3" s="4" t="n"/>
      <c r="E3" s="4" t="n"/>
      <c r="F3" s="5" t="n"/>
      <c r="G3" s="5" t="n"/>
      <c r="H3" s="5" t="n"/>
      <c r="I3" s="5" t="n"/>
    </row>
    <row r="4">
      <c r="B4" s="81" t="inlineStr">
        <is>
          <t>ENTRÉES</t>
        </is>
      </c>
      <c r="F4" s="81" t="inlineStr">
        <is>
          <t>COMPARAISON</t>
        </is>
      </c>
    </row>
    <row r="5">
      <c r="B5" t="inlineStr">
        <is>
          <t>Loyer mensuel actuel ($)</t>
        </is>
      </c>
      <c r="C5" s="82" t="n">
        <v>1250</v>
      </c>
      <c r="D5" s="83" t="inlineStr">
        <is>
          <t>Exemple : 1 250 $. Remplace par ton loyer.</t>
        </is>
      </c>
      <c r="F5" t="inlineStr">
        <is>
          <t>Ton loyer</t>
        </is>
      </c>
      <c r="G5" s="84">
        <f>C5</f>
        <v/>
      </c>
    </row>
    <row r="6">
      <c r="B6" t="inlineStr">
        <is>
          <t>Type de logement</t>
        </is>
      </c>
      <c r="C6" s="85" t="inlineStr">
        <is>
          <t>2 chambres</t>
        </is>
      </c>
      <c r="D6" s="83" t="inlineStr">
        <is>
          <t>Liste déroulante.</t>
        </is>
      </c>
      <c r="F6" t="inlineStr">
        <is>
          <t>Moyenne, tous locataires</t>
        </is>
      </c>
      <c r="G6" s="84">
        <f>C11</f>
        <v/>
      </c>
    </row>
    <row r="7">
      <c r="B7" t="inlineStr">
        <is>
          <t>Année de début du bail</t>
        </is>
      </c>
      <c r="C7" s="86" t="n">
        <v>2019</v>
      </c>
      <c r="D7" s="83" t="inlineStr">
        <is>
          <t>Entre 1992 et 2025.</t>
        </is>
      </c>
      <c r="F7" t="inlineStr">
        <is>
          <t>2 ch. reloué (SCHL)</t>
        </is>
      </c>
      <c r="G7" s="84">
        <f>C19</f>
        <v/>
      </c>
    </row>
    <row r="8">
      <c r="B8" t="inlineStr">
        <is>
          <t>Revenu annuel brut du ménage ($)</t>
        </is>
      </c>
      <c r="C8" s="82" t="n">
        <v>60000</v>
      </c>
      <c r="D8" s="83" t="inlineStr">
        <is>
          <t>Mets 0 pour ne pas calculer le taux d'effort.</t>
        </is>
      </c>
    </row>
    <row r="10">
      <c r="B10" s="81" t="inlineStr">
        <is>
          <t>RÉSULTATS (DONNÉES D'OCTOBRE 2025)</t>
        </is>
      </c>
    </row>
    <row r="11">
      <c r="B11" t="inlineStr">
        <is>
          <t>Loyer moyen SCHL, ce type, 2025</t>
        </is>
      </c>
      <c r="C11" s="87">
        <f>SUMIFS(Loyers_Montant,Loyers_Annee,2025,Loyers_Type,$C$6)</f>
        <v/>
      </c>
    </row>
    <row r="12">
      <c r="B12" t="inlineStr">
        <is>
          <t>Écart entre ton loyer et cette moyenne</t>
        </is>
      </c>
      <c r="C12" s="88">
        <f>C5-C11</f>
        <v/>
      </c>
    </row>
    <row r="13">
      <c r="B13" t="inlineStr">
        <is>
          <t>Écart en %</t>
        </is>
      </c>
      <c r="C13" s="89">
        <f>C5/C11-1</f>
        <v/>
      </c>
    </row>
    <row r="14">
      <c r="B14" t="inlineStr">
        <is>
          <t>Hausse du loyer moyen depuis le début du bail</t>
        </is>
      </c>
      <c r="C14" s="89">
        <f>C11/SUMIFS(Loyers_Montant,Loyers_Annee,$C$7,Loyers_Type,$C$6)-1</f>
        <v/>
      </c>
    </row>
    <row r="15">
      <c r="B15" t="inlineStr">
        <is>
          <t>Inflation (IPC Montréal) sur la même période</t>
        </is>
      </c>
      <c r="C15" s="89">
        <f>INDEX(IPC_Valeur,MATCH(2025,IPC_Annee,0))/INDEX(IPC_Valeur,MATCH($C$7,IPC_Annee,0))-1</f>
        <v/>
      </c>
    </row>
    <row r="16">
      <c r="B16" t="inlineStr">
        <is>
          <t>Hausse réelle du loyer moyen (au-delà de l'inflation)</t>
        </is>
      </c>
      <c r="C16" s="89">
        <f>(1+C14)/(1+C15)-1</f>
        <v/>
      </c>
    </row>
    <row r="17">
      <c r="B17" t="inlineStr">
        <is>
          <t>Taux d'effort (loyer × 12 / revenu)</t>
        </is>
      </c>
      <c r="C17" s="90">
        <f>IF(C8&gt;0,C5*12/C8,"Non calculé")</f>
        <v/>
      </c>
    </row>
    <row r="18">
      <c r="B18" t="inlineStr">
        <is>
          <t>Statut d'abordabilité (seuil SCHL : 30 % du revenu)</t>
        </is>
      </c>
      <c r="C18" s="91">
        <f>_xlfn.IFS(C8&lt;=0,"Non calculé",C5*12/C8&lt;=0.3,"Sous le seuil",TRUE,"Au-dessus du seuil")</f>
        <v/>
      </c>
    </row>
    <row r="19">
      <c r="B19" t="inlineStr">
        <is>
          <t>Loyer moyen d'un 2 chambres reloué en 2025 (SCHL)</t>
        </is>
      </c>
      <c r="C19" s="87">
        <f>SUMIFS(SCHL_Valeur,SCHL_Annee,2025,SCHL_Indic,"loyer_moyen_reloues_2ch")</f>
        <v/>
      </c>
    </row>
    <row r="20">
      <c r="B20" t="inlineStr">
        <is>
          <t>Ce que coûterait un déménagement (2 ch. reloué − ton loyer)</t>
        </is>
      </c>
      <c r="C20" s="88">
        <f>C19-C5</f>
        <v/>
      </c>
    </row>
    <row r="22">
      <c r="B22" s="92" t="inlineStr">
        <is>
          <t>• Moyenne de la région métropolitaine, immeubles de 3 logements et plus, tous âges et tous quartiers.</t>
        </is>
      </c>
    </row>
    <row r="23">
      <c r="B23" s="92" t="inlineStr">
        <is>
          <t>• La moyenne inclut les locataires de longue date : un logement à louer coûte en général plus cher.</t>
        </is>
      </c>
    </row>
    <row r="24">
      <c r="B24" s="92" t="inlineStr">
        <is>
          <t>• Le logement social et les condos loués ne sont pas couverts par l'enquête.</t>
        </is>
      </c>
    </row>
  </sheetData>
  <conditionalFormatting sqref="C18">
    <cfRule type="expression" priority="1" dxfId="1">
      <formula>C18="Sous le seuil"</formula>
    </cfRule>
    <cfRule type="expression" priority="2" dxfId="2">
      <formula>C18="Au-dessus du seuil"</formula>
    </cfRule>
  </conditionalFormatting>
  <dataValidations count="2">
    <dataValidation sqref="C6" showDropDown="0" showInputMessage="0" showErrorMessage="1" allowBlank="0" type="list">
      <formula1>"Studio,1 chambre,2 chambres,3 chambres"</formula1>
    </dataValidation>
    <dataValidation sqref="C7" showDropDown="0" showInputMessage="0" showErrorMessage="1" allowBlank="0" error="Choisis une année entre 1992 et 2025." type="whole" operator="between">
      <formula1>1992</formula1>
      <formula2>2025</formula2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tabColor rgb="001A6B3C"/>
    <outlinePr summaryBelow="1" summaryRight="1"/>
    <pageSetUpPr fitToPage="1"/>
  </sheetPr>
  <dimension ref="A1:K44"/>
  <sheetViews>
    <sheetView showGridLines="0" tabSelected="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5" customWidth="1" min="2" max="2"/>
    <col width="13" customWidth="1" min="3" max="3"/>
    <col width="13" customWidth="1" min="4" max="4"/>
    <col width="11" customWidth="1" min="5" max="5"/>
    <col width="13" customWidth="1" min="6" max="6"/>
    <col width="15" customWidth="1" min="7" max="7"/>
    <col width="13" customWidth="1" min="8" max="8"/>
    <col width="20" customWidth="1" min="9" max="9"/>
    <col width="16" customWidth="1" min="10" max="10"/>
    <col width="2" customWidth="1" min="11" max="11"/>
  </cols>
  <sheetData>
    <row r="1" ht="34" customHeight="1">
      <c r="A1" s="1" t="n"/>
      <c r="B1" s="30" t="inlineStr">
        <is>
          <t>Excel 365 : un portefeuille de logements lu avec les fonctions dynamiques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31">
        <f>HYPERLINK("#'Accueil'!A1","← Accueil")</f>
        <v/>
      </c>
    </row>
    <row r="2" ht="20" customHeight="1">
      <c r="A2" s="1" t="n"/>
      <c r="B2" s="3" t="inlineStr">
        <is>
          <t>RECHERCHEX, LET, FILTRE, TRIER, UNIQUE · cases jaunes modifiables · requiert Excel 2021 ou Microsoft 365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</row>
    <row r="3" ht="5" customHeight="1">
      <c r="A3" s="4" t="n"/>
      <c r="B3" s="4" t="n"/>
      <c r="C3" s="4" t="n"/>
      <c r="D3" s="4" t="n"/>
      <c r="E3" s="4" t="n"/>
      <c r="F3" s="4" t="n"/>
      <c r="G3" s="5" t="n"/>
      <c r="H3" s="5" t="n"/>
      <c r="I3" s="5" t="n"/>
      <c r="J3" s="5" t="n"/>
      <c r="K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</row>
    <row r="5">
      <c r="A5" s="6" t="n"/>
      <c r="B5" s="45" t="inlineStr">
        <is>
          <t>PORTEFEUILLE FICTIF D'UNE AGENCE · HUIT LOGEMENTS, DONNÉES DU MARCHÉ 2025</t>
        </is>
      </c>
      <c r="C5" s="6" t="n"/>
      <c r="D5" s="6" t="n"/>
      <c r="E5" s="6" t="n"/>
      <c r="F5" s="6" t="n"/>
      <c r="G5" s="6" t="n"/>
      <c r="H5" s="6" t="n"/>
      <c r="I5" s="6" t="n"/>
      <c r="J5" s="6" t="n"/>
      <c r="K5" s="6" t="n"/>
    </row>
    <row r="6" ht="42" customHeight="1">
      <c r="A6" s="6" t="n"/>
      <c r="B6" s="46" t="inlineStr">
        <is>
          <t>Logement</t>
        </is>
      </c>
      <c r="C6" s="46" t="inlineStr">
        <is>
          <t>Type</t>
        </is>
      </c>
      <c r="D6" s="46" t="inlineStr">
        <is>
          <t>Loyer actuel ($)</t>
        </is>
      </c>
      <c r="E6" s="46" t="inlineStr">
        <is>
          <t>Début du bail</t>
        </is>
      </c>
      <c r="F6" s="46" t="inlineStr">
        <is>
          <t>Marché 2025 ($)</t>
        </is>
      </c>
      <c r="G6" s="46" t="inlineStr">
        <is>
          <t>Hausse du marché depuis le bail</t>
        </is>
      </c>
      <c r="H6" s="46" t="inlineStr">
        <is>
          <t>Écart au marché</t>
        </is>
      </c>
      <c r="I6" s="46" t="inlineStr">
        <is>
          <t>Position</t>
        </is>
      </c>
      <c r="J6" s="46" t="inlineStr">
        <is>
          <t>Gain de relocation ($/mois)</t>
        </is>
      </c>
      <c r="K6" s="6" t="n"/>
    </row>
    <row r="7">
      <c r="A7" s="6" t="n"/>
      <c r="B7" s="93" t="inlineStr">
        <is>
          <t>Plateau-101</t>
        </is>
      </c>
      <c r="C7" s="93" t="inlineStr">
        <is>
          <t>2 chambres</t>
        </is>
      </c>
      <c r="D7" s="94" t="n">
        <v>1150</v>
      </c>
      <c r="E7" s="43" t="n">
        <v>2017</v>
      </c>
      <c r="F7" s="95">
        <f t="array" ref="F7">_xlfn.XLOOKUP(1,(Loyers_Annee=2025)*(Loyers_Type=C7),Loyers_Montant)</f>
        <v/>
      </c>
      <c r="G7" s="96">
        <f t="array" ref="G7">_xlfn.LET(debut,E7,marche_bail,_xlfn.XLOOKUP(1,(Loyers_Annee=debut)*(Loyers_Type=C7),Loyers_Montant),F7/marche_bail-1)</f>
        <v/>
      </c>
      <c r="H7" s="96">
        <f>D7/F7-1</f>
        <v/>
      </c>
      <c r="I7" s="97">
        <f>_xlfn.IFS(H7&lt;-0.05,"Sous le marché",H7&gt;0.05,"Au-dessus du marché",TRUE,"Dans le marché")</f>
        <v/>
      </c>
      <c r="J7" s="98">
        <f>IF(C7="2 chambres",SUMIFS(T_Loyer,T_ID,7,T_Est,"Demandé",T_Periode,"2026 T2")-D7,"—")</f>
        <v/>
      </c>
      <c r="K7" s="6" t="n"/>
    </row>
    <row r="8">
      <c r="A8" s="6" t="n"/>
      <c r="B8" s="93" t="inlineStr">
        <is>
          <t>Plateau-102</t>
        </is>
      </c>
      <c r="C8" s="93" t="inlineStr">
        <is>
          <t>2 chambres</t>
        </is>
      </c>
      <c r="D8" s="94" t="n">
        <v>1420</v>
      </c>
      <c r="E8" s="43" t="n">
        <v>2021</v>
      </c>
      <c r="F8" s="95">
        <f t="array" ref="F8">_xlfn.XLOOKUP(1,(Loyers_Annee=2025)*(Loyers_Type=C8),Loyers_Montant)</f>
        <v/>
      </c>
      <c r="G8" s="96">
        <f t="array" ref="G8">_xlfn.LET(debut,E8,marche_bail,_xlfn.XLOOKUP(1,(Loyers_Annee=debut)*(Loyers_Type=C8),Loyers_Montant),F8/marche_bail-1)</f>
        <v/>
      </c>
      <c r="H8" s="96">
        <f>D8/F8-1</f>
        <v/>
      </c>
      <c r="I8" s="97">
        <f>_xlfn.IFS(H8&lt;-0.05,"Sous le marché",H8&gt;0.05,"Au-dessus du marché",TRUE,"Dans le marché")</f>
        <v/>
      </c>
      <c r="J8" s="98">
        <f>IF(C8="2 chambres",SUMIFS(T_Loyer,T_ID,7,T_Est,"Demandé",T_Periode,"2026 T2")-D8,"—")</f>
        <v/>
      </c>
      <c r="K8" s="6" t="n"/>
    </row>
    <row r="9">
      <c r="A9" s="6" t="n"/>
      <c r="B9" s="93" t="inlineStr">
        <is>
          <t>Villeray-201</t>
        </is>
      </c>
      <c r="C9" s="93" t="inlineStr">
        <is>
          <t>1 chambre</t>
        </is>
      </c>
      <c r="D9" s="94" t="n">
        <v>980</v>
      </c>
      <c r="E9" s="43" t="n">
        <v>2019</v>
      </c>
      <c r="F9" s="95">
        <f t="array" ref="F9">_xlfn.XLOOKUP(1,(Loyers_Annee=2025)*(Loyers_Type=C9),Loyers_Montant)</f>
        <v/>
      </c>
      <c r="G9" s="96">
        <f t="array" ref="G9">_xlfn.LET(debut,E9,marche_bail,_xlfn.XLOOKUP(1,(Loyers_Annee=debut)*(Loyers_Type=C9),Loyers_Montant),F9/marche_bail-1)</f>
        <v/>
      </c>
      <c r="H9" s="96">
        <f>D9/F9-1</f>
        <v/>
      </c>
      <c r="I9" s="97">
        <f>_xlfn.IFS(H9&lt;-0.05,"Sous le marché",H9&gt;0.05,"Au-dessus du marché",TRUE,"Dans le marché")</f>
        <v/>
      </c>
      <c r="J9" s="98">
        <f>IF(C9="2 chambres",SUMIFS(T_Loyer,T_ID,7,T_Est,"Demandé",T_Periode,"2026 T2")-D9,"—")</f>
        <v/>
      </c>
      <c r="K9" s="6" t="n"/>
    </row>
    <row r="10">
      <c r="A10" s="6" t="n"/>
      <c r="B10" s="93" t="inlineStr">
        <is>
          <t>Villeray-202</t>
        </is>
      </c>
      <c r="C10" s="93" t="inlineStr">
        <is>
          <t>2 chambres</t>
        </is>
      </c>
      <c r="D10" s="94" t="n">
        <v>1890</v>
      </c>
      <c r="E10" s="43" t="n">
        <v>2025</v>
      </c>
      <c r="F10" s="95">
        <f t="array" ref="F10">_xlfn.XLOOKUP(1,(Loyers_Annee=2025)*(Loyers_Type=C10),Loyers_Montant)</f>
        <v/>
      </c>
      <c r="G10" s="96">
        <f t="array" ref="G10">_xlfn.LET(debut,E10,marche_bail,_xlfn.XLOOKUP(1,(Loyers_Annee=debut)*(Loyers_Type=C10),Loyers_Montant),F10/marche_bail-1)</f>
        <v/>
      </c>
      <c r="H10" s="96">
        <f>D10/F10-1</f>
        <v/>
      </c>
      <c r="I10" s="97">
        <f>_xlfn.IFS(H10&lt;-0.05,"Sous le marché",H10&gt;0.05,"Au-dessus du marché",TRUE,"Dans le marché")</f>
        <v/>
      </c>
      <c r="J10" s="98">
        <f>IF(C10="2 chambres",SUMIFS(T_Loyer,T_ID,7,T_Est,"Demandé",T_Periode,"2026 T2")-D10,"—")</f>
        <v/>
      </c>
      <c r="K10" s="6" t="n"/>
    </row>
    <row r="11">
      <c r="A11" s="6" t="n"/>
      <c r="B11" s="93" t="inlineStr">
        <is>
          <t>Rosemont-301</t>
        </is>
      </c>
      <c r="C11" s="93" t="inlineStr">
        <is>
          <t>Studio</t>
        </is>
      </c>
      <c r="D11" s="94" t="n">
        <v>760</v>
      </c>
      <c r="E11" s="43" t="n">
        <v>2015</v>
      </c>
      <c r="F11" s="95">
        <f t="array" ref="F11">_xlfn.XLOOKUP(1,(Loyers_Annee=2025)*(Loyers_Type=C11),Loyers_Montant)</f>
        <v/>
      </c>
      <c r="G11" s="96">
        <f t="array" ref="G11">_xlfn.LET(debut,E11,marche_bail,_xlfn.XLOOKUP(1,(Loyers_Annee=debut)*(Loyers_Type=C11),Loyers_Montant),F11/marche_bail-1)</f>
        <v/>
      </c>
      <c r="H11" s="96">
        <f>D11/F11-1</f>
        <v/>
      </c>
      <c r="I11" s="97">
        <f>_xlfn.IFS(H11&lt;-0.05,"Sous le marché",H11&gt;0.05,"Au-dessus du marché",TRUE,"Dans le marché")</f>
        <v/>
      </c>
      <c r="J11" s="98">
        <f>IF(C11="2 chambres",SUMIFS(T_Loyer,T_ID,7,T_Est,"Demandé",T_Periode,"2026 T2")-D11,"—")</f>
        <v/>
      </c>
      <c r="K11" s="6" t="n"/>
    </row>
    <row r="12">
      <c r="A12" s="6" t="n"/>
      <c r="B12" s="93" t="inlineStr">
        <is>
          <t>Rosemont-302</t>
        </is>
      </c>
      <c r="C12" s="93" t="inlineStr">
        <is>
          <t>2 chambres</t>
        </is>
      </c>
      <c r="D12" s="94" t="n">
        <v>1510</v>
      </c>
      <c r="E12" s="43" t="n">
        <v>2023</v>
      </c>
      <c r="F12" s="95">
        <f t="array" ref="F12">_xlfn.XLOOKUP(1,(Loyers_Annee=2025)*(Loyers_Type=C12),Loyers_Montant)</f>
        <v/>
      </c>
      <c r="G12" s="96">
        <f t="array" ref="G12">_xlfn.LET(debut,E12,marche_bail,_xlfn.XLOOKUP(1,(Loyers_Annee=debut)*(Loyers_Type=C12),Loyers_Montant),F12/marche_bail-1)</f>
        <v/>
      </c>
      <c r="H12" s="96">
        <f>D12/F12-1</f>
        <v/>
      </c>
      <c r="I12" s="97">
        <f>_xlfn.IFS(H12&lt;-0.05,"Sous le marché",H12&gt;0.05,"Au-dessus du marché",TRUE,"Dans le marché")</f>
        <v/>
      </c>
      <c r="J12" s="98">
        <f>IF(C12="2 chambres",SUMIFS(T_Loyer,T_ID,7,T_Est,"Demandé",T_Periode,"2026 T2")-D12,"—")</f>
        <v/>
      </c>
      <c r="K12" s="6" t="n"/>
    </row>
    <row r="13">
      <c r="A13" s="6" t="n"/>
      <c r="B13" s="93" t="inlineStr">
        <is>
          <t>HoMa-401</t>
        </is>
      </c>
      <c r="C13" s="93" t="inlineStr">
        <is>
          <t>1 chambre</t>
        </is>
      </c>
      <c r="D13" s="94" t="n">
        <v>1245</v>
      </c>
      <c r="E13" s="43" t="n">
        <v>2024</v>
      </c>
      <c r="F13" s="95">
        <f t="array" ref="F13">_xlfn.XLOOKUP(1,(Loyers_Annee=2025)*(Loyers_Type=C13),Loyers_Montant)</f>
        <v/>
      </c>
      <c r="G13" s="96">
        <f t="array" ref="G13">_xlfn.LET(debut,E13,marche_bail,_xlfn.XLOOKUP(1,(Loyers_Annee=debut)*(Loyers_Type=C13),Loyers_Montant),F13/marche_bail-1)</f>
        <v/>
      </c>
      <c r="H13" s="96">
        <f>D13/F13-1</f>
        <v/>
      </c>
      <c r="I13" s="97">
        <f>_xlfn.IFS(H13&lt;-0.05,"Sous le marché",H13&gt;0.05,"Au-dessus du marché",TRUE,"Dans le marché")</f>
        <v/>
      </c>
      <c r="J13" s="98">
        <f>IF(C13="2 chambres",SUMIFS(T_Loyer,T_ID,7,T_Est,"Demandé",T_Periode,"2026 T2")-D13,"—")</f>
        <v/>
      </c>
      <c r="K13" s="6" t="n"/>
    </row>
    <row r="14">
      <c r="A14" s="6" t="n"/>
      <c r="B14" s="93" t="inlineStr">
        <is>
          <t>HoMa-402</t>
        </is>
      </c>
      <c r="C14" s="93" t="inlineStr">
        <is>
          <t>3 chambres</t>
        </is>
      </c>
      <c r="D14" s="94" t="n">
        <v>2150</v>
      </c>
      <c r="E14" s="43" t="n">
        <v>2024</v>
      </c>
      <c r="F14" s="95">
        <f t="array" ref="F14">_xlfn.XLOOKUP(1,(Loyers_Annee=2025)*(Loyers_Type=C14),Loyers_Montant)</f>
        <v/>
      </c>
      <c r="G14" s="96">
        <f t="array" ref="G14">_xlfn.LET(debut,E14,marche_bail,_xlfn.XLOOKUP(1,(Loyers_Annee=debut)*(Loyers_Type=C14),Loyers_Montant),F14/marche_bail-1)</f>
        <v/>
      </c>
      <c r="H14" s="96">
        <f>D14/F14-1</f>
        <v/>
      </c>
      <c r="I14" s="97">
        <f>_xlfn.IFS(H14&lt;-0.05,"Sous le marché",H14&gt;0.05,"Au-dessus du marché",TRUE,"Dans le marché")</f>
        <v/>
      </c>
      <c r="J14" s="98">
        <f>IF(C14="2 chambres",SUMIFS(T_Loyer,T_ID,7,T_Est,"Demandé",T_Periode,"2026 T2")-D14,"—")</f>
        <v/>
      </c>
      <c r="K14" s="6" t="n"/>
    </row>
    <row r="15">
      <c r="A15" s="6" t="n"/>
      <c r="B15" s="42" t="inlineStr">
        <is>
          <t>Marché 2025 : loyer moyen SCHL par type (RECHERCHEX à deux critères). Gain de relocation : loyer demandé à Montréal au 2026 T2 moins le loyer actuel, pour les 2 chambres.</t>
        </is>
      </c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</row>
    <row r="17">
      <c r="A17" s="6" t="n"/>
      <c r="B17" s="45" t="inlineStr">
        <is>
          <t>LECTURE DYNAMIQUE DU PORTEFEUILLE</t>
        </is>
      </c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</row>
    <row r="18">
      <c r="A18" s="6" t="n"/>
      <c r="B18" s="99" t="inlineStr">
        <is>
          <t>Logements sous le marché, du plus grand écart au plus petit (TRIER + FILTRE)</t>
        </is>
      </c>
      <c r="C18" s="100" t="n"/>
      <c r="D18" s="100" t="n"/>
      <c r="E18" s="101" t="n"/>
      <c r="F18" s="6" t="n"/>
      <c r="G18" s="102" t="inlineStr">
        <is>
          <t>Indicateurs du portefeuille (LET + FILTRE, UNIQUE)</t>
        </is>
      </c>
      <c r="H18" s="9" t="n"/>
      <c r="I18" s="9" t="n"/>
      <c r="J18" s="10" t="n"/>
      <c r="K18" s="6" t="n"/>
    </row>
    <row r="19">
      <c r="A19" s="6" t="n"/>
      <c r="B19" s="46" t="inlineStr">
        <is>
          <t>Logement</t>
        </is>
      </c>
      <c r="C19" s="46" t="inlineStr">
        <is>
          <t>Type</t>
        </is>
      </c>
      <c r="D19" s="46" t="inlineStr">
        <is>
          <t>Loyer actuel ($)</t>
        </is>
      </c>
      <c r="E19" s="46" t="inlineStr">
        <is>
          <t>Écart au marché</t>
        </is>
      </c>
      <c r="F19" s="6" t="n"/>
      <c r="G19" s="103" t="inlineStr">
        <is>
          <t>Logements sous le marché (écart &lt; −5 %)</t>
        </is>
      </c>
      <c r="J19" s="104">
        <f t="array" ref="J19">_xlfn.LET(sous,_xlfn._xlws.FILTER(H7:H14,H7:H14&lt;-0.05),IFERROR(ROWS(sous),0))</f>
        <v/>
      </c>
      <c r="K19" s="6" t="n"/>
    </row>
    <row r="20">
      <c r="A20" s="6" t="n"/>
      <c r="B20" s="105">
        <f t="array" ref="B20:E27">IFERROR(_xlfn._xlws.SORT(_xlfn._xlws.FILTER(CHOOSE({1,2,3,4},B7:B14,C7:C14,D7:D14,H7:H14),H7:H14&lt;-0.05),4,1),"")</f>
        <v/>
      </c>
      <c r="C20" s="105" t="n"/>
      <c r="D20" s="106" t="n"/>
      <c r="E20" s="107" t="n"/>
      <c r="F20" s="6" t="n"/>
      <c r="G20" s="21" t="n"/>
      <c r="J20" s="18" t="n"/>
      <c r="K20" s="6" t="n"/>
    </row>
    <row r="21">
      <c r="A21" s="6" t="n"/>
      <c r="B21" s="105" t="n"/>
      <c r="C21" s="105" t="n"/>
      <c r="D21" s="106" t="n"/>
      <c r="E21" s="107" t="n"/>
      <c r="F21" s="6" t="n"/>
      <c r="G21" s="103" t="inlineStr">
        <is>
          <t>Revenu annuel libéré si les 2 chambres sous le marché étaient reloués au prix des annonces</t>
        </is>
      </c>
      <c r="J21" s="108">
        <f t="array" ref="J21">_xlfn.LET(gains,_xlfn._xlws.FILTER(J7:J14,(C7:C14="2 chambres")*(H7:H14&lt;-0.05)),IFERROR(SUM(gains)*12,0))</f>
        <v/>
      </c>
      <c r="K21" s="6" t="n"/>
    </row>
    <row r="22">
      <c r="A22" s="6" t="n"/>
      <c r="B22" s="105" t="n"/>
      <c r="C22" s="105" t="n"/>
      <c r="D22" s="106" t="n"/>
      <c r="E22" s="107" t="n"/>
      <c r="F22" s="6" t="n"/>
      <c r="G22" s="21" t="n"/>
      <c r="J22" s="18" t="n"/>
      <c r="K22" s="6" t="n"/>
    </row>
    <row r="23">
      <c r="A23" s="6" t="n"/>
      <c r="B23" s="105" t="n"/>
      <c r="C23" s="105" t="n"/>
      <c r="D23" s="106" t="n"/>
      <c r="E23" s="107" t="n"/>
      <c r="F23" s="6" t="n"/>
      <c r="G23" s="103" t="inlineStr">
        <is>
          <t>Écart moyen au marché, tout le portefeuille</t>
        </is>
      </c>
      <c r="J23" s="109">
        <f>AVERAGE(H7:H14)</f>
        <v/>
      </c>
      <c r="K23" s="6" t="n"/>
    </row>
    <row r="24">
      <c r="A24" s="6" t="n"/>
      <c r="B24" s="105" t="n"/>
      <c r="C24" s="105" t="n"/>
      <c r="D24" s="106" t="n"/>
      <c r="E24" s="107" t="n"/>
      <c r="F24" s="6" t="n"/>
      <c r="G24" s="21" t="n"/>
      <c r="J24" s="18" t="n"/>
      <c r="K24" s="6" t="n"/>
    </row>
    <row r="25">
      <c r="A25" s="6" t="n"/>
      <c r="B25" s="105" t="n"/>
      <c r="C25" s="105" t="n"/>
      <c r="D25" s="106" t="n"/>
      <c r="E25" s="107" t="n"/>
      <c r="F25" s="6" t="n"/>
      <c r="G25" s="46" t="inlineStr">
        <is>
          <t>Types présents (UNIQUE)</t>
        </is>
      </c>
      <c r="H25" s="46" t="inlineStr">
        <is>
          <t>Logements</t>
        </is>
      </c>
      <c r="I25" s="46" t="inlineStr">
        <is>
          <t>Écart moyen</t>
        </is>
      </c>
      <c r="J25" s="46" t="inlineStr"/>
      <c r="K25" s="6" t="n"/>
    </row>
    <row r="26">
      <c r="A26" s="6" t="n"/>
      <c r="B26" s="105" t="n"/>
      <c r="C26" s="105" t="n"/>
      <c r="D26" s="106" t="n"/>
      <c r="E26" s="107" t="n"/>
      <c r="F26" s="6" t="n"/>
      <c r="G26" s="110">
        <f t="array" ref="G26:G29">IFERROR(INDEX(_xlfn.UNIQUE(C7:C14),ROW()-25),"")</f>
        <v/>
      </c>
      <c r="H26" s="111">
        <f>IF(G26="","",COUNTIF(C$7:C$14,G26))</f>
        <v/>
      </c>
      <c r="I26" s="112">
        <f>IF(G26="","",AVERAGEIFS(H$7:H$14,C$7:C$14,G26))</f>
        <v/>
      </c>
      <c r="J26" s="113" t="n"/>
      <c r="K26" s="6" t="n"/>
    </row>
    <row r="27">
      <c r="A27" s="6" t="n"/>
      <c r="B27" s="105" t="n"/>
      <c r="C27" s="105" t="n"/>
      <c r="D27" s="106" t="n"/>
      <c r="E27" s="107" t="n"/>
      <c r="F27" s="6" t="n"/>
      <c r="G27" s="110" t="n"/>
      <c r="H27" s="111">
        <f>IF(G27="","",COUNTIF(C$7:C$14,G27))</f>
        <v/>
      </c>
      <c r="I27" s="112">
        <f>IF(G27="","",AVERAGEIFS(H$7:H$14,C$7:C$14,G27))</f>
        <v/>
      </c>
      <c r="J27" s="113" t="n"/>
      <c r="K27" s="6" t="n"/>
    </row>
    <row r="28">
      <c r="A28" s="6" t="n"/>
      <c r="B28" s="114" t="n"/>
      <c r="C28" s="115" t="n"/>
      <c r="D28" s="115" t="n"/>
      <c r="E28" s="113" t="n"/>
      <c r="F28" s="6" t="n"/>
      <c r="G28" s="110" t="n"/>
      <c r="H28" s="111">
        <f>IF(G28="","",COUNTIF(C$7:C$14,G28))</f>
        <v/>
      </c>
      <c r="I28" s="112">
        <f>IF(G28="","",AVERAGEIFS(H$7:H$14,C$7:C$14,G28))</f>
        <v/>
      </c>
      <c r="J28" s="113" t="n"/>
      <c r="K28" s="6" t="n"/>
    </row>
    <row r="29">
      <c r="A29" s="6" t="n"/>
      <c r="B29" s="58" t="n"/>
      <c r="C29" s="59" t="n"/>
      <c r="D29" s="59" t="n"/>
      <c r="E29" s="60" t="n"/>
      <c r="F29" s="6" t="n"/>
      <c r="G29" s="116" t="n"/>
      <c r="H29" s="117">
        <f>IF(G29="","",COUNTIF(C$7:C$14,G29))</f>
        <v/>
      </c>
      <c r="I29" s="118">
        <f>IF(G29="","",AVERAGEIFS(H$7:H$14,C$7:C$14,G29))</f>
        <v/>
      </c>
      <c r="J29" s="60" t="n"/>
      <c r="K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</row>
    <row r="31">
      <c r="A31" s="6" t="n"/>
      <c r="B31" s="45" t="inlineStr">
        <is>
          <t>LES FONCTIONS DE CETTE FEUILLE</t>
        </is>
      </c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</row>
    <row r="32">
      <c r="A32" s="6" t="n"/>
      <c r="B32" s="46" t="inlineStr">
        <is>
          <t>Fonction</t>
        </is>
      </c>
      <c r="C32" s="46" t="inlineStr">
        <is>
          <t>Ce qu'elle fait ici</t>
        </is>
      </c>
      <c r="D32" s="119" t="n"/>
      <c r="E32" s="119" t="n"/>
      <c r="F32" s="119" t="n"/>
      <c r="G32" s="119" t="n"/>
      <c r="H32" s="72" t="n"/>
      <c r="I32" s="46" t="inlineStr">
        <is>
          <t>Où</t>
        </is>
      </c>
      <c r="J32" s="6" t="n"/>
      <c r="K32" s="6" t="n"/>
    </row>
    <row r="33" ht="28" customHeight="1">
      <c r="A33" s="6" t="n"/>
      <c r="B33" s="120" t="inlineStr">
        <is>
          <t>RECHERCHEX</t>
        </is>
      </c>
      <c r="C33" s="121" t="inlineStr">
        <is>
          <t>Lit le loyer du marché pour un type ET une année : un seul appel, deux critères, sans colonne d'aide ni INDEX/EQUIV.</t>
        </is>
      </c>
      <c r="D33" s="59" t="n"/>
      <c r="E33" s="59" t="n"/>
      <c r="F33" s="59" t="n"/>
      <c r="G33" s="59" t="n"/>
      <c r="H33" s="59" t="n"/>
      <c r="I33" s="122" t="inlineStr">
        <is>
          <t>Colonnes F et G</t>
        </is>
      </c>
      <c r="J33" s="6" t="n"/>
      <c r="K33" s="6" t="n"/>
    </row>
    <row r="34" ht="28" customHeight="1">
      <c r="A34" s="6" t="n"/>
      <c r="B34" s="120" t="inlineStr">
        <is>
          <t>LET</t>
        </is>
      </c>
      <c r="C34" s="121" t="inlineStr">
        <is>
          <t>Nomme les étapes d'un calcul (debut, marche_bail, sous, gains) : la formule se lit comme une phrase.</t>
        </is>
      </c>
      <c r="D34" s="59" t="n"/>
      <c r="E34" s="59" t="n"/>
      <c r="F34" s="59" t="n"/>
      <c r="G34" s="59" t="n"/>
      <c r="H34" s="59" t="n"/>
      <c r="I34" s="122" t="inlineStr">
        <is>
          <t>Colonne G, indicateurs</t>
        </is>
      </c>
      <c r="J34" s="6" t="n"/>
      <c r="K34" s="6" t="n"/>
    </row>
    <row r="35" ht="28" customHeight="1">
      <c r="A35" s="6" t="n"/>
      <c r="B35" s="120" t="inlineStr">
        <is>
          <t>FILTRE + TRIER</t>
        </is>
      </c>
      <c r="C35" s="121" t="inlineStr">
        <is>
          <t>Extrait les logements sous le marché et les classe par écart, sans RANG ni colonnes intermédiaires.</t>
        </is>
      </c>
      <c r="D35" s="59" t="n"/>
      <c r="E35" s="59" t="n"/>
      <c r="F35" s="59" t="n"/>
      <c r="G35" s="59" t="n"/>
      <c r="H35" s="59" t="n"/>
      <c r="I35" s="122" t="inlineStr">
        <is>
          <t>Bloc de gauche</t>
        </is>
      </c>
      <c r="J35" s="6" t="n"/>
      <c r="K35" s="6" t="n"/>
    </row>
    <row r="36" ht="28" customHeight="1">
      <c r="A36" s="6" t="n"/>
      <c r="B36" s="120" t="inlineStr">
        <is>
          <t>UNIQUE</t>
        </is>
      </c>
      <c r="C36" s="121" t="inlineStr">
        <is>
          <t>Liste les types présents dans le portefeuille ; NB.SI et MOYENNE.SI.ENS complètent par type.</t>
        </is>
      </c>
      <c r="D36" s="59" t="n"/>
      <c r="E36" s="59" t="n"/>
      <c r="F36" s="59" t="n"/>
      <c r="G36" s="59" t="n"/>
      <c r="H36" s="59" t="n"/>
      <c r="I36" s="122" t="inlineStr">
        <is>
          <t>Bloc de droite</t>
        </is>
      </c>
      <c r="J36" s="6" t="n"/>
      <c r="K36" s="6" t="n"/>
    </row>
    <row r="37" ht="28" customHeight="1">
      <c r="A37" s="6" t="n"/>
      <c r="B37" s="120" t="inlineStr">
        <is>
          <t>SI.CONDITIONS</t>
        </is>
      </c>
      <c r="C37" s="121" t="inlineStr">
        <is>
          <t>Position du loyer face au marché en une formule lisible.</t>
        </is>
      </c>
      <c r="D37" s="59" t="n"/>
      <c r="E37" s="59" t="n"/>
      <c r="F37" s="59" t="n"/>
      <c r="G37" s="59" t="n"/>
      <c r="H37" s="59" t="n"/>
      <c r="I37" s="122" t="inlineStr">
        <is>
          <t>Colonne I</t>
        </is>
      </c>
      <c r="J37" s="6" t="n"/>
      <c r="K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</row>
    <row r="39">
      <c r="A39" s="6" t="n"/>
      <c r="B39" s="42" t="inlineStr">
        <is>
          <t>Dans une version d'Excel antérieure à 2021, seule cette feuille affiche #NOM? ; toutes les autres s'ouvrent normalement.</t>
        </is>
      </c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</row>
    <row r="40">
      <c r="A40" s="6" t="n"/>
      <c r="B40" s="42" t="inlineStr">
        <is>
          <t>Les blocs à résultat multiple sont figés sur 8 lignes (formules matricielles {…}) pour s'ouvrir sans réparation ; dans Excel 365, retire les accolades : la formule se propage seule.</t>
        </is>
      </c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</row>
  </sheetData>
  <mergeCells count="14">
    <mergeCell ref="C33:H33"/>
    <mergeCell ref="C32:H32"/>
    <mergeCell ref="B18:E18"/>
    <mergeCell ref="G18:J18"/>
    <mergeCell ref="C36:H36"/>
    <mergeCell ref="G19:I20"/>
    <mergeCell ref="C37:H37"/>
    <mergeCell ref="G23:I24"/>
    <mergeCell ref="J21:J22"/>
    <mergeCell ref="C35:H35"/>
    <mergeCell ref="C34:H34"/>
    <mergeCell ref="J23:J24"/>
    <mergeCell ref="J19:J20"/>
    <mergeCell ref="G21:I22"/>
  </mergeCells>
  <dataValidations count="16">
    <dataValidation sqref="C7" showDropDown="0" showInputMessage="0" showErrorMessage="1" allowBlank="0" errorTitle="Type de logement" error="Choisis un type dans la liste." type="list">
      <formula1>"Studio,1 chambre,2 chambres,3 chambres"</formula1>
    </dataValidation>
    <dataValidation sqref="E7" showDropDown="0" showInputMessage="0" showErrorMessage="1" allowBlank="0" errorTitle="Début du bail" error="Année entre 1992 et 2025." type="whole" operator="between">
      <formula1>1992</formula1>
      <formula2>2025</formula2>
    </dataValidation>
    <dataValidation sqref="C8" showDropDown="0" showInputMessage="0" showErrorMessage="1" allowBlank="0" errorTitle="Type de logement" error="Choisis un type dans la liste." type="list">
      <formula1>"Studio,1 chambre,2 chambres,3 chambres"</formula1>
    </dataValidation>
    <dataValidation sqref="E8" showDropDown="0" showInputMessage="0" showErrorMessage="1" allowBlank="0" errorTitle="Début du bail" error="Année entre 1992 et 2025." type="whole" operator="between">
      <formula1>1992</formula1>
      <formula2>2025</formula2>
    </dataValidation>
    <dataValidation sqref="C9" showDropDown="0" showInputMessage="0" showErrorMessage="1" allowBlank="0" errorTitle="Type de logement" error="Choisis un type dans la liste." type="list">
      <formula1>"Studio,1 chambre,2 chambres,3 chambres"</formula1>
    </dataValidation>
    <dataValidation sqref="E9" showDropDown="0" showInputMessage="0" showErrorMessage="1" allowBlank="0" errorTitle="Début du bail" error="Année entre 1992 et 2025." type="whole" operator="between">
      <formula1>1992</formula1>
      <formula2>2025</formula2>
    </dataValidation>
    <dataValidation sqref="C10" showDropDown="0" showInputMessage="0" showErrorMessage="1" allowBlank="0" errorTitle="Type de logement" error="Choisis un type dans la liste." type="list">
      <formula1>"Studio,1 chambre,2 chambres,3 chambres"</formula1>
    </dataValidation>
    <dataValidation sqref="E10" showDropDown="0" showInputMessage="0" showErrorMessage="1" allowBlank="0" errorTitle="Début du bail" error="Année entre 1992 et 2025." type="whole" operator="between">
      <formula1>1992</formula1>
      <formula2>2025</formula2>
    </dataValidation>
    <dataValidation sqref="C11" showDropDown="0" showInputMessage="0" showErrorMessage="1" allowBlank="0" errorTitle="Type de logement" error="Choisis un type dans la liste." type="list">
      <formula1>"Studio,1 chambre,2 chambres,3 chambres"</formula1>
    </dataValidation>
    <dataValidation sqref="E11" showDropDown="0" showInputMessage="0" showErrorMessage="1" allowBlank="0" errorTitle="Début du bail" error="Année entre 1992 et 2025." type="whole" operator="between">
      <formula1>1992</formula1>
      <formula2>2025</formula2>
    </dataValidation>
    <dataValidation sqref="C12" showDropDown="0" showInputMessage="0" showErrorMessage="1" allowBlank="0" errorTitle="Type de logement" error="Choisis un type dans la liste." type="list">
      <formula1>"Studio,1 chambre,2 chambres,3 chambres"</formula1>
    </dataValidation>
    <dataValidation sqref="E12" showDropDown="0" showInputMessage="0" showErrorMessage="1" allowBlank="0" errorTitle="Début du bail" error="Année entre 1992 et 2025." type="whole" operator="between">
      <formula1>1992</formula1>
      <formula2>2025</formula2>
    </dataValidation>
    <dataValidation sqref="C13" showDropDown="0" showInputMessage="0" showErrorMessage="1" allowBlank="0" errorTitle="Type de logement" error="Choisis un type dans la liste." type="list">
      <formula1>"Studio,1 chambre,2 chambres,3 chambres"</formula1>
    </dataValidation>
    <dataValidation sqref="E13" showDropDown="0" showInputMessage="0" showErrorMessage="1" allowBlank="0" errorTitle="Début du bail" error="Année entre 1992 et 2025." type="whole" operator="between">
      <formula1>1992</formula1>
      <formula2>2025</formula2>
    </dataValidation>
    <dataValidation sqref="C14" showDropDown="0" showInputMessage="0" showErrorMessage="1" allowBlank="0" errorTitle="Type de logement" error="Choisis un type dans la liste." type="list">
      <formula1>"Studio,1 chambre,2 chambres,3 chambres"</formula1>
    </dataValidation>
    <dataValidation sqref="E14" showDropDown="0" showInputMessage="0" showErrorMessage="1" allowBlank="0" errorTitle="Début du bail" error="Année entre 1992 et 2025." type="whole" operator="between">
      <formula1>1992</formula1>
      <formula2>2025</formula2>
    </dataValidation>
  </dataValidations>
  <printOptions horizontalCentered="1"/>
  <pageMargins left="0.3" right="0.3" top="1" bottom="1" header="0.5" footer="0.5"/>
  <pageSetup orientation="landscape" paperSize="9" fitToHeight="1" fitToWidth="1"/>
</worksheet>
</file>

<file path=xl/worksheets/sheet8.xml><?xml version="1.0" encoding="utf-8"?>
<worksheet xmlns="http://schemas.openxmlformats.org/spreadsheetml/2006/main">
  <sheetPr>
    <tabColor rgb="007B6CD9"/>
    <outlinePr summaryBelow="1" summaryRight="1"/>
    <pageSetUpPr fitToPage="1"/>
  </sheetPr>
  <dimension ref="A1:J46"/>
  <sheetViews>
    <sheetView showGridLines="0" tabSelected="0" workbookViewId="0">
      <selection activeCell="A1" sqref="A1"/>
    </sheetView>
  </sheetViews>
  <sheetFormatPr baseColWidth="8" defaultRowHeight="15"/>
  <cols>
    <col width="2" customWidth="1" min="1" max="1"/>
    <col width="24" customWidth="1" min="2" max="2"/>
    <col width="16" customWidth="1" min="3" max="3"/>
    <col width="60" customWidth="1" min="4" max="4"/>
    <col width="34" customWidth="1" min="5" max="5"/>
    <col width="2" customWidth="1" min="6" max="6"/>
    <col width="2" customWidth="1" min="7" max="7"/>
    <col width="2" customWidth="1" min="8" max="8"/>
    <col width="2" customWidth="1" min="9" max="9"/>
    <col width="2" customWidth="1" min="10" max="10"/>
  </cols>
  <sheetData>
    <row r="1" ht="34" customHeight="1">
      <c r="A1" s="1" t="n"/>
      <c r="B1" s="30" t="inlineStr">
        <is>
          <t>Mode d'emploi : les fonctions du classeur, de la plus simple à la plus avancée</t>
        </is>
      </c>
      <c r="C1" s="1" t="n"/>
      <c r="D1" s="1" t="n"/>
      <c r="E1" s="1" t="n"/>
      <c r="F1" s="1" t="n"/>
      <c r="G1" s="1" t="n"/>
      <c r="H1" s="1" t="n"/>
      <c r="I1" s="1" t="n"/>
      <c r="J1" s="31">
        <f>HYPERLINK("#'Accueil'!A1","← Accueil")</f>
        <v/>
      </c>
    </row>
    <row r="2" ht="20" customHeight="1">
      <c r="A2" s="1" t="n"/>
      <c r="B2" s="3" t="inlineStr">
        <is>
          <t>Chaque formule est visible : clique sur une cellule pour la lire. Aucune macro, aucun code caché.</t>
        </is>
      </c>
      <c r="C2" s="1" t="n"/>
      <c r="D2" s="1" t="n"/>
      <c r="E2" s="1" t="n"/>
      <c r="F2" s="1" t="n"/>
      <c r="G2" s="1" t="n"/>
      <c r="H2" s="1" t="n"/>
      <c r="I2" s="1" t="n"/>
      <c r="J2" s="1" t="n"/>
    </row>
    <row r="3" ht="5" customHeight="1">
      <c r="A3" s="4" t="n"/>
      <c r="B3" s="4" t="n"/>
      <c r="C3" s="4" t="n"/>
      <c r="D3" s="4" t="n"/>
      <c r="E3" s="4" t="n"/>
      <c r="F3" s="4" t="n"/>
      <c r="G3" s="5" t="n"/>
      <c r="H3" s="5" t="n"/>
      <c r="I3" s="5" t="n"/>
      <c r="J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</row>
    <row r="5">
      <c r="A5" s="6" t="n"/>
      <c r="B5" s="45" t="inlineStr">
        <is>
          <t>LES FONCTIONS, PAR NIVEAU</t>
        </is>
      </c>
      <c r="C5" s="6" t="n"/>
      <c r="D5" s="6" t="n"/>
      <c r="E5" s="6" t="n"/>
      <c r="F5" s="6" t="n"/>
      <c r="G5" s="6" t="n"/>
      <c r="H5" s="6" t="n"/>
      <c r="I5" s="6" t="n"/>
      <c r="J5" s="6" t="n"/>
    </row>
    <row r="6">
      <c r="A6" s="6" t="n"/>
      <c r="B6" s="46" t="inlineStr">
        <is>
          <t>Niveau</t>
        </is>
      </c>
      <c r="C6" s="46" t="inlineStr">
        <is>
          <t>Fonction ou outil</t>
        </is>
      </c>
      <c r="D6" s="46" t="inlineStr">
        <is>
          <t>Ce qu'elle fait ici</t>
        </is>
      </c>
      <c r="E6" s="46" t="inlineStr">
        <is>
          <t>Où la voir</t>
        </is>
      </c>
      <c r="F6" s="6" t="n"/>
      <c r="G6" s="6" t="n"/>
      <c r="H6" s="6" t="n"/>
      <c r="I6" s="6" t="n"/>
      <c r="J6" s="6" t="n"/>
    </row>
    <row r="7" ht="30" customHeight="1">
      <c r="A7" s="6" t="n"/>
      <c r="B7" s="123" t="inlineStr">
        <is>
          <t>Simple</t>
        </is>
      </c>
      <c r="C7" s="124" t="inlineStr">
        <is>
          <t>SOMME.SI.ENS</t>
        </is>
      </c>
      <c r="D7" s="125" t="inlineStr">
        <is>
          <t>Lit un loyer dans les tableaux sources selon plusieurs critères (année, type, trimestre…). La fonction la plus utilisée du classeur.</t>
        </is>
      </c>
      <c r="E7" s="126" t="inlineStr">
        <is>
          <t>Partout · ex. Tableau de bord</t>
        </is>
      </c>
      <c r="F7" s="6" t="n"/>
      <c r="G7" s="6" t="n"/>
      <c r="H7" s="6" t="n"/>
      <c r="I7" s="6" t="n"/>
      <c r="J7" s="6" t="n"/>
    </row>
    <row r="8" ht="30" customHeight="1">
      <c r="A8" s="6" t="n"/>
      <c r="B8" s="123" t="inlineStr">
        <is>
          <t>Simple</t>
        </is>
      </c>
      <c r="C8" s="124" t="inlineStr">
        <is>
          <t>MAX.SI.ENS / MIN.SI.ENS</t>
        </is>
      </c>
      <c r="D8" s="125" t="inlineStr">
        <is>
          <t>Le loyer demandé le plus élevé et le plus bas parmi les 16 régions, sans trier le tableau.</t>
        </is>
      </c>
      <c r="E8" s="126" t="inlineStr">
        <is>
          <t>Carte villes, repères du marché</t>
        </is>
      </c>
      <c r="F8" s="6" t="n"/>
      <c r="G8" s="6" t="n"/>
      <c r="H8" s="6" t="n"/>
      <c r="I8" s="6" t="n"/>
      <c r="J8" s="6" t="n"/>
    </row>
    <row r="9" ht="30" customHeight="1">
      <c r="A9" s="6" t="n"/>
      <c r="B9" s="123" t="inlineStr">
        <is>
          <t>Simple</t>
        </is>
      </c>
      <c r="C9" s="124" t="inlineStr">
        <is>
          <t>SI.CONDITIONS</t>
        </is>
      </c>
      <c r="D9" s="125" t="inlineStr">
        <is>
          <t>Le statut d'abordabilité en une seule formule lisible, au lieu de SI imbriqués.</t>
        </is>
      </c>
      <c r="E9" s="126" t="inlineStr">
        <is>
          <t>Simulateur</t>
        </is>
      </c>
      <c r="F9" s="6" t="n"/>
      <c r="G9" s="6" t="n"/>
      <c r="H9" s="6" t="n"/>
      <c r="I9" s="6" t="n"/>
      <c r="J9" s="6" t="n"/>
    </row>
    <row r="10" ht="30" customHeight="1">
      <c r="A10" s="6" t="n"/>
      <c r="B10" s="123" t="inlineStr">
        <is>
          <t>Simple</t>
        </is>
      </c>
      <c r="C10" s="124" t="inlineStr">
        <is>
          <t>LIEN_HYPERTEXTE</t>
        </is>
      </c>
      <c r="D10" s="125" t="inlineStr">
        <is>
          <t>Les boutons de navigation entre les feuilles.</t>
        </is>
      </c>
      <c r="E10" s="126" t="inlineStr">
        <is>
          <t>Accueil, bandeaux</t>
        </is>
      </c>
      <c r="F10" s="6" t="n"/>
      <c r="G10" s="6" t="n"/>
      <c r="H10" s="6" t="n"/>
      <c r="I10" s="6" t="n"/>
      <c r="J10" s="6" t="n"/>
    </row>
    <row r="11" ht="30" customHeight="1">
      <c r="A11" s="6" t="n"/>
      <c r="B11" s="127" t="inlineStr">
        <is>
          <t>Intermédiaire</t>
        </is>
      </c>
      <c r="C11" s="124" t="inlineStr">
        <is>
          <t>INDEX + EQUIV</t>
        </is>
      </c>
      <c r="D11" s="125" t="inlineStr">
        <is>
          <t>Retrouve une valeur par sa position : la fiche de la ville choisie, le tri des classements.</t>
        </is>
      </c>
      <c r="E11" s="126" t="inlineStr">
        <is>
          <t>Cartes, Tableau de bord</t>
        </is>
      </c>
      <c r="F11" s="6" t="n"/>
      <c r="G11" s="6" t="n"/>
      <c r="H11" s="6" t="n"/>
      <c r="I11" s="6" t="n"/>
      <c r="J11" s="6" t="n"/>
    </row>
    <row r="12" ht="30" customHeight="1">
      <c r="A12" s="6" t="n"/>
      <c r="B12" s="127" t="inlineStr">
        <is>
          <t>Intermédiaire</t>
        </is>
      </c>
      <c r="C12" s="124" t="inlineStr">
        <is>
          <t>RANG + INDEX/EQUIV</t>
        </is>
      </c>
      <c r="D12" s="125" t="inlineStr">
        <is>
          <t>Trie les villes par hausse sans macro : RANG classe, INDEX/EQUIV reconstruit la liste triée.</t>
        </is>
      </c>
      <c r="E12" s="126" t="inlineStr">
        <is>
          <t>Calculs (alimente les graphiques)</t>
        </is>
      </c>
      <c r="F12" s="6" t="n"/>
      <c r="G12" s="6" t="n"/>
      <c r="H12" s="6" t="n"/>
      <c r="I12" s="6" t="n"/>
      <c r="J12" s="6" t="n"/>
    </row>
    <row r="13" ht="30" customHeight="1">
      <c r="A13" s="6" t="n"/>
      <c r="B13" s="127" t="inlineStr">
        <is>
          <t>Intermédiaire</t>
        </is>
      </c>
      <c r="C13" s="124" t="inlineStr">
        <is>
          <t>CENTILE</t>
        </is>
      </c>
      <c r="D13" s="125" t="inlineStr">
        <is>
          <t>Découpe les valeurs en quintiles : les 5 classes de couleur des cartes.</t>
        </is>
      </c>
      <c r="E13" s="126" t="inlineStr">
        <is>
          <t>Calculs, légendes des cartes</t>
        </is>
      </c>
      <c r="F13" s="6" t="n"/>
      <c r="G13" s="6" t="n"/>
      <c r="H13" s="6" t="n"/>
      <c r="I13" s="6" t="n"/>
      <c r="J13" s="6" t="n"/>
    </row>
    <row r="14" ht="30" customHeight="1">
      <c r="A14" s="6" t="n"/>
      <c r="B14" s="127" t="inlineStr">
        <is>
          <t>Intermédiaire</t>
        </is>
      </c>
      <c r="C14" s="124" t="inlineStr">
        <is>
          <t>CHOISIR + EQUIV</t>
        </is>
      </c>
      <c r="D14" s="125" t="inlineStr">
        <is>
          <t>Bascule les cartes d'un indicateur à l'autre à partir d'une liste déroulante.</t>
        </is>
      </c>
      <c r="E14" s="126" t="inlineStr">
        <is>
          <t>Calculs</t>
        </is>
      </c>
      <c r="F14" s="6" t="n"/>
      <c r="G14" s="6" t="n"/>
      <c r="H14" s="6" t="n"/>
      <c r="I14" s="6" t="n"/>
      <c r="J14" s="6" t="n"/>
    </row>
    <row r="15" ht="30" customHeight="1">
      <c r="A15" s="6" t="n"/>
      <c r="B15" s="128" t="inlineStr">
        <is>
          <t>Avancée</t>
        </is>
      </c>
      <c r="C15" s="124" t="inlineStr">
        <is>
          <t>NPM (NPER)</t>
        </is>
      </c>
      <c r="D15" s="125" t="inlineStr">
        <is>
          <t>Le nombre d'années pour que le loyer moyen rattrape le prix des annonces, pour chaque scénario.</t>
        </is>
      </c>
      <c r="E15" s="126" t="inlineStr">
        <is>
          <t>Scénarios</t>
        </is>
      </c>
      <c r="F15" s="6" t="n"/>
      <c r="G15" s="6" t="n"/>
      <c r="H15" s="6" t="n"/>
      <c r="I15" s="6" t="n"/>
      <c r="J15" s="6" t="n"/>
    </row>
    <row r="16" ht="30" customHeight="1">
      <c r="A16" s="6" t="n"/>
      <c r="B16" s="128" t="inlineStr">
        <is>
          <t>Avancée</t>
        </is>
      </c>
      <c r="C16" s="124" t="inlineStr">
        <is>
          <t>NA() dans les séries</t>
        </is>
      </c>
      <c r="D16" s="125" t="inlineStr">
        <is>
          <t>Un point NA() n'est pas tracé : les classes de couleur des cartes et les périodes des courbes.</t>
        </is>
      </c>
      <c r="E16" s="126" t="inlineStr">
        <is>
          <t>Calculs (feuille masquée)</t>
        </is>
      </c>
      <c r="F16" s="6" t="n"/>
      <c r="G16" s="6" t="n"/>
      <c r="H16" s="6" t="n"/>
      <c r="I16" s="6" t="n"/>
      <c r="J16" s="6" t="n"/>
    </row>
    <row r="17" ht="30" customHeight="1">
      <c r="A17" s="6" t="n"/>
      <c r="B17" s="128" t="inlineStr">
        <is>
          <t>Avancée</t>
        </is>
      </c>
      <c r="C17" s="124" t="inlineStr">
        <is>
          <t>Graphique en nuage de points</t>
        </is>
      </c>
      <c r="D17" s="125" t="inlineStr">
        <is>
          <t>Les deux cartes : les contours projetés sont une série de lignes, chaque ville ou province une série de points.</t>
        </is>
      </c>
      <c r="E17" s="126" t="inlineStr">
        <is>
          <t>Carte provinces, Carte villes</t>
        </is>
      </c>
      <c r="F17" s="6" t="n"/>
      <c r="G17" s="6" t="n"/>
      <c r="H17" s="6" t="n"/>
      <c r="I17" s="6" t="n"/>
      <c r="J17" s="6" t="n"/>
    </row>
    <row r="18" ht="30" customHeight="1">
      <c r="A18" s="6" t="n"/>
      <c r="B18" s="129" t="inlineStr">
        <is>
          <t>Excel 365</t>
        </is>
      </c>
      <c r="C18" s="124" t="inlineStr">
        <is>
          <t>RECHERCHEX à deux critères</t>
        </is>
      </c>
      <c r="D18" s="125" t="inlineStr">
        <is>
          <t>Le loyer du marché pour un type et une année, en un seul appel.</t>
        </is>
      </c>
      <c r="E18" s="126" t="inlineStr">
        <is>
          <t>Excel 365</t>
        </is>
      </c>
      <c r="F18" s="6" t="n"/>
      <c r="G18" s="6" t="n"/>
      <c r="H18" s="6" t="n"/>
      <c r="I18" s="6" t="n"/>
      <c r="J18" s="6" t="n"/>
    </row>
    <row r="19" ht="30" customHeight="1">
      <c r="A19" s="6" t="n"/>
      <c r="B19" s="129" t="inlineStr">
        <is>
          <t>Excel 365</t>
        </is>
      </c>
      <c r="C19" s="124" t="inlineStr">
        <is>
          <t>LET</t>
        </is>
      </c>
      <c r="D19" s="125" t="inlineStr">
        <is>
          <t>Des étapes nommées dans la formule : lisible et plus rapide à vérifier.</t>
        </is>
      </c>
      <c r="E19" s="126" t="inlineStr">
        <is>
          <t>Excel 365</t>
        </is>
      </c>
      <c r="F19" s="6" t="n"/>
      <c r="G19" s="6" t="n"/>
      <c r="H19" s="6" t="n"/>
      <c r="I19" s="6" t="n"/>
      <c r="J19" s="6" t="n"/>
    </row>
    <row r="20" ht="30" customHeight="1">
      <c r="A20" s="6" t="n"/>
      <c r="B20" s="129" t="inlineStr">
        <is>
          <t>Excel 365</t>
        </is>
      </c>
      <c r="C20" s="124" t="inlineStr">
        <is>
          <t>FILTRE + TRIER + UNIQUE</t>
        </is>
      </c>
      <c r="D20" s="125" t="inlineStr">
        <is>
          <t>Extraire, classer et dédoublonner un portefeuille sans colonnes intermédiaires.</t>
        </is>
      </c>
      <c r="E20" s="126" t="inlineStr">
        <is>
          <t>Excel 365</t>
        </is>
      </c>
      <c r="F20" s="6" t="n"/>
      <c r="G20" s="6" t="n"/>
      <c r="H20" s="6" t="n"/>
      <c r="I20" s="6" t="n"/>
      <c r="J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</row>
    <row r="22">
      <c r="A22" s="6" t="n"/>
      <c r="B22" s="45" t="inlineStr">
        <is>
          <t>ET LES FONCTIONS D'EXCEL 365 ?</t>
        </is>
      </c>
      <c r="C22" s="6" t="n"/>
      <c r="D22" s="6" t="n"/>
      <c r="E22" s="6" t="n"/>
      <c r="F22" s="6" t="n"/>
      <c r="G22" s="6" t="n"/>
      <c r="H22" s="6" t="n"/>
      <c r="I22" s="6" t="n"/>
      <c r="J22" s="6" t="n"/>
    </row>
    <row r="23">
      <c r="A23" s="6" t="n"/>
      <c r="B23" s="130" t="inlineStr">
        <is>
          <t>Toutes les feuilles d'analyse n'utilisent que des fonctions disponibles depuis Excel 2019, pour s'ouvrir partout sans erreur.</t>
        </is>
      </c>
      <c r="C23" s="6" t="n"/>
      <c r="D23" s="6" t="n"/>
      <c r="E23" s="6" t="n"/>
      <c r="F23" s="6" t="n"/>
      <c r="G23" s="6" t="n"/>
      <c r="H23" s="6" t="n"/>
      <c r="I23" s="6" t="n"/>
      <c r="J23" s="6" t="n"/>
    </row>
    <row r="24">
      <c r="A24" s="6" t="n"/>
      <c r="B24" s="130" t="inlineStr">
        <is>
          <t>La feuille « Excel 365 » montre les fonctions dynamiques (RECHERCHEX, LET, FILTRE, TRIER, UNIQUE) sur un portefeuille de logements ;</t>
        </is>
      </c>
      <c r="C24" s="6" t="n"/>
      <c r="D24" s="6" t="n"/>
      <c r="E24" s="6" t="n"/>
      <c r="F24" s="6" t="n"/>
      <c r="G24" s="6" t="n"/>
      <c r="H24" s="6" t="n"/>
      <c r="I24" s="6" t="n"/>
      <c r="J24" s="6" t="n"/>
    </row>
    <row r="25">
      <c r="A25" s="6" t="n"/>
      <c r="B25" s="130" t="inlineStr">
        <is>
          <t>elle demande Excel 2021 ou Microsoft 365, et c'est la seule.</t>
        </is>
      </c>
      <c r="C25" s="6" t="n"/>
      <c r="D25" s="6" t="n"/>
      <c r="E25" s="6" t="n"/>
      <c r="F25" s="6" t="n"/>
      <c r="G25" s="6" t="n"/>
      <c r="H25" s="6" t="n"/>
      <c r="I25" s="6" t="n"/>
      <c r="J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</row>
    <row r="27">
      <c r="A27" s="6" t="n"/>
      <c r="B27" s="45" t="inlineStr">
        <is>
          <t>TROIS EXERCICES POUR PRENDRE LE CLASSEUR EN MAIN</t>
        </is>
      </c>
      <c r="C27" s="6" t="n"/>
      <c r="D27" s="6" t="n"/>
      <c r="E27" s="6" t="n"/>
      <c r="F27" s="6" t="n"/>
      <c r="G27" s="6" t="n"/>
      <c r="H27" s="6" t="n"/>
      <c r="I27" s="6" t="n"/>
      <c r="J27" s="6" t="n"/>
    </row>
    <row r="28">
      <c r="A28" s="6" t="n"/>
      <c r="B28" s="130" t="inlineStr">
        <is>
          <t>1.  Tableau de bord : mets la période 1992-2019, puis 2019-2025. Compare les deux rythmes annuels réels (+0,5 % contre +4,1 %).</t>
        </is>
      </c>
      <c r="C28" s="6" t="n"/>
      <c r="D28" s="6" t="n"/>
      <c r="E28" s="6" t="n"/>
      <c r="F28" s="6" t="n"/>
      <c r="G28" s="6" t="n"/>
      <c r="H28" s="6" t="n"/>
      <c r="I28" s="6" t="n"/>
      <c r="J28" s="6" t="n"/>
    </row>
    <row r="29">
      <c r="A29" s="6" t="n"/>
      <c r="B29" s="130" t="inlineStr">
        <is>
          <t>2.  Carte provinces : année 2024. Quelle province mène ? (Réponse : l'Alberta.) Repasse à 2025 : le Québec prend la tête.</t>
        </is>
      </c>
      <c r="C29" s="6" t="n"/>
      <c r="D29" s="6" t="n"/>
      <c r="E29" s="6" t="n"/>
      <c r="F29" s="6" t="n"/>
      <c r="G29" s="6" t="n"/>
      <c r="H29" s="6" t="n"/>
      <c r="I29" s="6" t="n"/>
      <c r="J29" s="6" t="n"/>
    </row>
    <row r="30">
      <c r="A30" s="6" t="n"/>
      <c r="B30" s="130" t="inlineStr">
        <is>
          <t>3.  Simulateur : entre ton propre loyer et ton année de bail, puis lis l'écart avec le marché et ton taux d'effort.</t>
        </is>
      </c>
      <c r="C30" s="6" t="n"/>
      <c r="D30" s="6" t="n"/>
      <c r="E30" s="6" t="n"/>
      <c r="F30" s="6" t="n"/>
      <c r="G30" s="6" t="n"/>
      <c r="H30" s="6" t="n"/>
      <c r="I30" s="6" t="n"/>
      <c r="J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</row>
    <row r="32">
      <c r="A32" s="6" t="n"/>
      <c r="B32" s="45" t="inlineStr">
        <is>
          <t>CONVENTIONS</t>
        </is>
      </c>
      <c r="C32" s="6" t="n"/>
      <c r="D32" s="6" t="n"/>
      <c r="E32" s="6" t="n"/>
      <c r="F32" s="6" t="n"/>
      <c r="G32" s="6" t="n"/>
      <c r="H32" s="6" t="n"/>
      <c r="I32" s="6" t="n"/>
      <c r="J32" s="6" t="n"/>
    </row>
    <row r="33">
      <c r="A33" s="6" t="n"/>
      <c r="B33" s="130" t="inlineStr">
        <is>
          <t>Cases jaunes : entrées modifiables (protégées par une validation des données). Texte bleu : données sources. Vert : valeur lue ailleurs. Noir : calcul.</t>
        </is>
      </c>
      <c r="C33" s="6" t="n"/>
      <c r="D33" s="6" t="n"/>
      <c r="E33" s="6" t="n"/>
      <c r="F33" s="6" t="n"/>
      <c r="G33" s="6" t="n"/>
      <c r="H33" s="6" t="n"/>
      <c r="I33" s="6" t="n"/>
      <c r="J33" s="6" t="n"/>
    </row>
    <row r="34">
      <c r="A34" s="6" t="n"/>
      <c r="B34" s="130" t="inlineStr">
        <is>
          <t>La feuille « Calculs » (masquée : clic droit sur un onglet → Afficher) contient les séries des graphiques ; ses NA() sont volontaires.</t>
        </is>
      </c>
      <c r="C34" s="6" t="n"/>
      <c r="D34" s="6" t="n"/>
      <c r="E34" s="6" t="n"/>
      <c r="F34" s="6" t="n"/>
      <c r="G34" s="6" t="n"/>
      <c r="H34" s="6" t="n"/>
      <c r="I34" s="6" t="n"/>
      <c r="J34" s="6" t="n"/>
    </row>
    <row r="35">
      <c r="A35" s="6" t="n"/>
      <c r="B35" s="130" t="inlineStr">
        <is>
          <t>Chaque bandeau de feuille cite sa source. Les données brutes sont dans les six derniers onglets, en tableaux Excel nommés.</t>
        </is>
      </c>
      <c r="C35" s="6" t="n"/>
      <c r="D35" s="6" t="n"/>
      <c r="E35" s="6" t="n"/>
      <c r="F35" s="6" t="n"/>
      <c r="G35" s="6" t="n"/>
      <c r="H35" s="6" t="n"/>
      <c r="I35" s="6" t="n"/>
      <c r="J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</row>
  </sheetData>
  <printOptions horizontalCentered="1"/>
  <pageMargins left="0.3" right="0.3" top="1" bottom="1" header="0.5" footer="0.5"/>
  <pageSetup orientation="landscape" paperSize="9" fitToHeight="1" fitToWidth="1"/>
</worksheet>
</file>

<file path=xl/worksheets/sheet9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D141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9" customWidth="1" min="2" max="2"/>
    <col width="16" customWidth="1" min="3" max="3"/>
    <col width="20" customWidth="1" min="4" max="4"/>
  </cols>
  <sheetData>
    <row r="1" ht="34" customHeight="1">
      <c r="A1" s="1" t="n"/>
      <c r="B1" s="30" t="inlineStr">
        <is>
          <t>Loyers Montréal</t>
        </is>
      </c>
      <c r="C1" s="1" t="n"/>
      <c r="D1" s="31">
        <f>HYPERLINK("#'Accueil'!A1","← Accueil")</f>
        <v/>
      </c>
    </row>
    <row r="2" ht="20" customHeight="1">
      <c r="A2" s="1" t="n"/>
      <c r="B2" s="3" t="inlineStr">
        <is>
          <t>Statistique Canada 34-10-0133-01 · loyers moyens SCHL, immeubles de 3 logements et plus, octobre</t>
        </is>
      </c>
      <c r="C2" s="1" t="n"/>
      <c r="D2" s="1" t="n"/>
    </row>
    <row r="3" ht="5" customHeight="1">
      <c r="A3" s="4" t="n"/>
      <c r="B3" s="4" t="n"/>
      <c r="C3" s="5" t="n"/>
      <c r="D3" s="5" t="n"/>
    </row>
    <row r="5" ht="30" customHeight="1">
      <c r="B5" s="46" t="inlineStr">
        <is>
          <t>Année</t>
        </is>
      </c>
      <c r="C5" s="46" t="inlineStr">
        <is>
          <t>Type de logement</t>
        </is>
      </c>
      <c r="D5" s="46" t="inlineStr">
        <is>
          <t>Loyer moyen ($/mois)</t>
        </is>
      </c>
    </row>
    <row r="6">
      <c r="B6" s="131" t="n">
        <v>1992</v>
      </c>
      <c r="C6" s="132" t="inlineStr">
        <is>
          <t>Studio</t>
        </is>
      </c>
      <c r="D6" s="133" t="n">
        <v>347</v>
      </c>
    </row>
    <row r="7">
      <c r="B7" s="131" t="n">
        <v>1993</v>
      </c>
      <c r="C7" s="132" t="inlineStr">
        <is>
          <t>Studio</t>
        </is>
      </c>
      <c r="D7" s="133" t="n">
        <v>351</v>
      </c>
    </row>
    <row r="8">
      <c r="B8" s="131" t="n">
        <v>1994</v>
      </c>
      <c r="C8" s="132" t="inlineStr">
        <is>
          <t>Studio</t>
        </is>
      </c>
      <c r="D8" s="133" t="n">
        <v>349</v>
      </c>
    </row>
    <row r="9">
      <c r="B9" s="131" t="n">
        <v>1995</v>
      </c>
      <c r="C9" s="132" t="inlineStr">
        <is>
          <t>Studio</t>
        </is>
      </c>
      <c r="D9" s="133" t="n">
        <v>350</v>
      </c>
    </row>
    <row r="10">
      <c r="B10" s="131" t="n">
        <v>1996</v>
      </c>
      <c r="C10" s="132" t="inlineStr">
        <is>
          <t>Studio</t>
        </is>
      </c>
      <c r="D10" s="133" t="n">
        <v>356</v>
      </c>
    </row>
    <row r="11">
      <c r="B11" s="131" t="n">
        <v>1997</v>
      </c>
      <c r="C11" s="132" t="inlineStr">
        <is>
          <t>Studio</t>
        </is>
      </c>
      <c r="D11" s="133" t="n">
        <v>359</v>
      </c>
    </row>
    <row r="12">
      <c r="B12" s="131" t="n">
        <v>1998</v>
      </c>
      <c r="C12" s="132" t="inlineStr">
        <is>
          <t>Studio</t>
        </is>
      </c>
      <c r="D12" s="133" t="n">
        <v>365</v>
      </c>
    </row>
    <row r="13">
      <c r="B13" s="131" t="n">
        <v>1999</v>
      </c>
      <c r="C13" s="132" t="inlineStr">
        <is>
          <t>Studio</t>
        </is>
      </c>
      <c r="D13" s="133" t="n">
        <v>372</v>
      </c>
    </row>
    <row r="14">
      <c r="B14" s="131" t="n">
        <v>2000</v>
      </c>
      <c r="C14" s="132" t="inlineStr">
        <is>
          <t>Studio</t>
        </is>
      </c>
      <c r="D14" s="133" t="n">
        <v>380</v>
      </c>
    </row>
    <row r="15">
      <c r="B15" s="131" t="n">
        <v>2001</v>
      </c>
      <c r="C15" s="132" t="inlineStr">
        <is>
          <t>Studio</t>
        </is>
      </c>
      <c r="D15" s="133" t="n">
        <v>404</v>
      </c>
    </row>
    <row r="16">
      <c r="B16" s="131" t="n">
        <v>2002</v>
      </c>
      <c r="C16" s="132" t="inlineStr">
        <is>
          <t>Studio</t>
        </is>
      </c>
      <c r="D16" s="133" t="n">
        <v>423</v>
      </c>
    </row>
    <row r="17">
      <c r="B17" s="131" t="n">
        <v>2003</v>
      </c>
      <c r="C17" s="132" t="inlineStr">
        <is>
          <t>Studio</t>
        </is>
      </c>
      <c r="D17" s="133" t="n">
        <v>441</v>
      </c>
    </row>
    <row r="18">
      <c r="B18" s="131" t="n">
        <v>2004</v>
      </c>
      <c r="C18" s="132" t="inlineStr">
        <is>
          <t>Studio</t>
        </is>
      </c>
      <c r="D18" s="133" t="n">
        <v>459</v>
      </c>
    </row>
    <row r="19">
      <c r="B19" s="131" t="n">
        <v>2005</v>
      </c>
      <c r="C19" s="132" t="inlineStr">
        <is>
          <t>Studio</t>
        </is>
      </c>
      <c r="D19" s="133" t="n">
        <v>466</v>
      </c>
    </row>
    <row r="20">
      <c r="B20" s="131" t="n">
        <v>2006</v>
      </c>
      <c r="C20" s="132" t="inlineStr">
        <is>
          <t>Studio</t>
        </is>
      </c>
      <c r="D20" s="133" t="n">
        <v>481</v>
      </c>
    </row>
    <row r="21">
      <c r="B21" s="131" t="n">
        <v>2007</v>
      </c>
      <c r="C21" s="132" t="inlineStr">
        <is>
          <t>Studio</t>
        </is>
      </c>
      <c r="D21" s="133" t="n">
        <v>490</v>
      </c>
    </row>
    <row r="22">
      <c r="B22" s="131" t="n">
        <v>2008</v>
      </c>
      <c r="C22" s="132" t="inlineStr">
        <is>
          <t>Studio</t>
        </is>
      </c>
      <c r="D22" s="133" t="n">
        <v>500</v>
      </c>
    </row>
    <row r="23">
      <c r="B23" s="131" t="n">
        <v>2009</v>
      </c>
      <c r="C23" s="132" t="inlineStr">
        <is>
          <t>Studio</t>
        </is>
      </c>
      <c r="D23" s="133" t="n">
        <v>514</v>
      </c>
    </row>
    <row r="24">
      <c r="B24" s="131" t="n">
        <v>2010</v>
      </c>
      <c r="C24" s="132" t="inlineStr">
        <is>
          <t>Studio</t>
        </is>
      </c>
      <c r="D24" s="133" t="n">
        <v>526</v>
      </c>
    </row>
    <row r="25">
      <c r="B25" s="131" t="n">
        <v>2011</v>
      </c>
      <c r="C25" s="132" t="inlineStr">
        <is>
          <t>Studio</t>
        </is>
      </c>
      <c r="D25" s="133" t="n">
        <v>549</v>
      </c>
    </row>
    <row r="26">
      <c r="B26" s="131" t="n">
        <v>2012</v>
      </c>
      <c r="C26" s="132" t="inlineStr">
        <is>
          <t>Studio</t>
        </is>
      </c>
      <c r="D26" s="133" t="n">
        <v>539</v>
      </c>
    </row>
    <row r="27">
      <c r="B27" s="131" t="n">
        <v>2013</v>
      </c>
      <c r="C27" s="132" t="inlineStr">
        <is>
          <t>Studio</t>
        </is>
      </c>
      <c r="D27" s="133" t="n">
        <v>555</v>
      </c>
    </row>
    <row r="28">
      <c r="B28" s="131" t="n">
        <v>2014</v>
      </c>
      <c r="C28" s="132" t="inlineStr">
        <is>
          <t>Studio</t>
        </is>
      </c>
      <c r="D28" s="133" t="n">
        <v>569</v>
      </c>
    </row>
    <row r="29">
      <c r="B29" s="131" t="n">
        <v>2015</v>
      </c>
      <c r="C29" s="132" t="inlineStr">
        <is>
          <t>Studio</t>
        </is>
      </c>
      <c r="D29" s="133" t="n">
        <v>573</v>
      </c>
    </row>
    <row r="30">
      <c r="B30" s="131" t="n">
        <v>2016</v>
      </c>
      <c r="C30" s="132" t="inlineStr">
        <is>
          <t>Studio</t>
        </is>
      </c>
      <c r="D30" s="133" t="n">
        <v>586</v>
      </c>
    </row>
    <row r="31">
      <c r="B31" s="131" t="n">
        <v>2017</v>
      </c>
      <c r="C31" s="132" t="inlineStr">
        <is>
          <t>Studio</t>
        </is>
      </c>
      <c r="D31" s="133" t="n">
        <v>597</v>
      </c>
    </row>
    <row r="32">
      <c r="B32" s="131" t="n">
        <v>2018</v>
      </c>
      <c r="C32" s="132" t="inlineStr">
        <is>
          <t>Studio</t>
        </is>
      </c>
      <c r="D32" s="133" t="n">
        <v>641</v>
      </c>
    </row>
    <row r="33">
      <c r="B33" s="131" t="n">
        <v>2019</v>
      </c>
      <c r="C33" s="132" t="inlineStr">
        <is>
          <t>Studio</t>
        </is>
      </c>
      <c r="D33" s="133" t="n">
        <v>655</v>
      </c>
    </row>
    <row r="34">
      <c r="B34" s="131" t="n">
        <v>2020</v>
      </c>
      <c r="C34" s="132" t="inlineStr">
        <is>
          <t>Studio</t>
        </is>
      </c>
      <c r="D34" s="133" t="n">
        <v>703</v>
      </c>
    </row>
    <row r="35">
      <c r="B35" s="131" t="n">
        <v>2021</v>
      </c>
      <c r="C35" s="132" t="inlineStr">
        <is>
          <t>Studio</t>
        </is>
      </c>
      <c r="D35" s="133" t="n">
        <v>712</v>
      </c>
    </row>
    <row r="36">
      <c r="B36" s="131" t="n">
        <v>2022</v>
      </c>
      <c r="C36" s="132" t="inlineStr">
        <is>
          <t>Studio</t>
        </is>
      </c>
      <c r="D36" s="133" t="n">
        <v>785</v>
      </c>
    </row>
    <row r="37">
      <c r="B37" s="131" t="n">
        <v>2023</v>
      </c>
      <c r="C37" s="132" t="inlineStr">
        <is>
          <t>Studio</t>
        </is>
      </c>
      <c r="D37" s="133" t="n">
        <v>809</v>
      </c>
    </row>
    <row r="38">
      <c r="B38" s="131" t="n">
        <v>2024</v>
      </c>
      <c r="C38" s="132" t="inlineStr">
        <is>
          <t>Studio</t>
        </is>
      </c>
      <c r="D38" s="133" t="n">
        <v>892</v>
      </c>
    </row>
    <row r="39">
      <c r="B39" s="131" t="n">
        <v>2025</v>
      </c>
      <c r="C39" s="132" t="inlineStr">
        <is>
          <t>Studio</t>
        </is>
      </c>
      <c r="D39" s="133" t="n">
        <v>1005</v>
      </c>
    </row>
    <row r="40">
      <c r="B40" s="131" t="n">
        <v>1992</v>
      </c>
      <c r="C40" s="132" t="inlineStr">
        <is>
          <t>1 chambre</t>
        </is>
      </c>
      <c r="D40" s="133" t="n">
        <v>428</v>
      </c>
    </row>
    <row r="41">
      <c r="B41" s="131" t="n">
        <v>1993</v>
      </c>
      <c r="C41" s="132" t="inlineStr">
        <is>
          <t>1 chambre</t>
        </is>
      </c>
      <c r="D41" s="133" t="n">
        <v>428</v>
      </c>
    </row>
    <row r="42">
      <c r="B42" s="131" t="n">
        <v>1994</v>
      </c>
      <c r="C42" s="132" t="inlineStr">
        <is>
          <t>1 chambre</t>
        </is>
      </c>
      <c r="D42" s="133" t="n">
        <v>425</v>
      </c>
    </row>
    <row r="43">
      <c r="B43" s="131" t="n">
        <v>1995</v>
      </c>
      <c r="C43" s="132" t="inlineStr">
        <is>
          <t>1 chambre</t>
        </is>
      </c>
      <c r="D43" s="133" t="n">
        <v>433</v>
      </c>
    </row>
    <row r="44">
      <c r="B44" s="131" t="n">
        <v>1996</v>
      </c>
      <c r="C44" s="132" t="inlineStr">
        <is>
          <t>1 chambre</t>
        </is>
      </c>
      <c r="D44" s="133" t="n">
        <v>435</v>
      </c>
    </row>
    <row r="45">
      <c r="B45" s="131" t="n">
        <v>1997</v>
      </c>
      <c r="C45" s="132" t="inlineStr">
        <is>
          <t>1 chambre</t>
        </is>
      </c>
      <c r="D45" s="133" t="n">
        <v>431</v>
      </c>
    </row>
    <row r="46">
      <c r="B46" s="131" t="n">
        <v>1998</v>
      </c>
      <c r="C46" s="132" t="inlineStr">
        <is>
          <t>1 chambre</t>
        </is>
      </c>
      <c r="D46" s="133" t="n">
        <v>438</v>
      </c>
    </row>
    <row r="47">
      <c r="B47" s="131" t="n">
        <v>1999</v>
      </c>
      <c r="C47" s="132" t="inlineStr">
        <is>
          <t>1 chambre</t>
        </is>
      </c>
      <c r="D47" s="133" t="n">
        <v>452</v>
      </c>
    </row>
    <row r="48">
      <c r="B48" s="131" t="n">
        <v>2000</v>
      </c>
      <c r="C48" s="132" t="inlineStr">
        <is>
          <t>1 chambre</t>
        </is>
      </c>
      <c r="D48" s="133" t="n">
        <v>458</v>
      </c>
    </row>
    <row r="49">
      <c r="B49" s="131" t="n">
        <v>2001</v>
      </c>
      <c r="C49" s="132" t="inlineStr">
        <is>
          <t>1 chambre</t>
        </is>
      </c>
      <c r="D49" s="133" t="n">
        <v>476</v>
      </c>
    </row>
    <row r="50">
      <c r="B50" s="131" t="n">
        <v>2002</v>
      </c>
      <c r="C50" s="132" t="inlineStr">
        <is>
          <t>1 chambre</t>
        </is>
      </c>
      <c r="D50" s="133" t="n">
        <v>505</v>
      </c>
    </row>
    <row r="51">
      <c r="B51" s="131" t="n">
        <v>2003</v>
      </c>
      <c r="C51" s="132" t="inlineStr">
        <is>
          <t>1 chambre</t>
        </is>
      </c>
      <c r="D51" s="133" t="n">
        <v>528</v>
      </c>
    </row>
    <row r="52">
      <c r="B52" s="131" t="n">
        <v>2004</v>
      </c>
      <c r="C52" s="132" t="inlineStr">
        <is>
          <t>1 chambre</t>
        </is>
      </c>
      <c r="D52" s="133" t="n">
        <v>539</v>
      </c>
    </row>
    <row r="53">
      <c r="B53" s="131" t="n">
        <v>2005</v>
      </c>
      <c r="C53" s="132" t="inlineStr">
        <is>
          <t>1 chambre</t>
        </is>
      </c>
      <c r="D53" s="133" t="n">
        <v>562</v>
      </c>
    </row>
    <row r="54">
      <c r="B54" s="131" t="n">
        <v>2006</v>
      </c>
      <c r="C54" s="132" t="inlineStr">
        <is>
          <t>1 chambre</t>
        </is>
      </c>
      <c r="D54" s="133" t="n">
        <v>574</v>
      </c>
    </row>
    <row r="55">
      <c r="B55" s="131" t="n">
        <v>2007</v>
      </c>
      <c r="C55" s="132" t="inlineStr">
        <is>
          <t>1 chambre</t>
        </is>
      </c>
      <c r="D55" s="133" t="n">
        <v>581</v>
      </c>
    </row>
    <row r="56">
      <c r="B56" s="131" t="n">
        <v>2008</v>
      </c>
      <c r="C56" s="132" t="inlineStr">
        <is>
          <t>1 chambre</t>
        </is>
      </c>
      <c r="D56" s="133" t="n">
        <v>594</v>
      </c>
    </row>
    <row r="57">
      <c r="B57" s="131" t="n">
        <v>2009</v>
      </c>
      <c r="C57" s="132" t="inlineStr">
        <is>
          <t>1 chambre</t>
        </is>
      </c>
      <c r="D57" s="133" t="n">
        <v>604</v>
      </c>
    </row>
    <row r="58">
      <c r="B58" s="131" t="n">
        <v>2010</v>
      </c>
      <c r="C58" s="132" t="inlineStr">
        <is>
          <t>1 chambre</t>
        </is>
      </c>
      <c r="D58" s="133" t="n">
        <v>627</v>
      </c>
    </row>
    <row r="59">
      <c r="B59" s="131" t="n">
        <v>2011</v>
      </c>
      <c r="C59" s="132" t="inlineStr">
        <is>
          <t>1 chambre</t>
        </is>
      </c>
      <c r="D59" s="133" t="n">
        <v>641</v>
      </c>
    </row>
    <row r="60">
      <c r="B60" s="131" t="n">
        <v>2012</v>
      </c>
      <c r="C60" s="132" t="inlineStr">
        <is>
          <t>1 chambre</t>
        </is>
      </c>
      <c r="D60" s="133" t="n">
        <v>637</v>
      </c>
    </row>
    <row r="61">
      <c r="B61" s="131" t="n">
        <v>2013</v>
      </c>
      <c r="C61" s="132" t="inlineStr">
        <is>
          <t>1 chambre</t>
        </is>
      </c>
      <c r="D61" s="133" t="n">
        <v>651</v>
      </c>
    </row>
    <row r="62">
      <c r="B62" s="131" t="n">
        <v>2014</v>
      </c>
      <c r="C62" s="132" t="inlineStr">
        <is>
          <t>1 chambre</t>
        </is>
      </c>
      <c r="D62" s="133" t="n">
        <v>655</v>
      </c>
    </row>
    <row r="63">
      <c r="B63" s="131" t="n">
        <v>2015</v>
      </c>
      <c r="C63" s="132" t="inlineStr">
        <is>
          <t>1 chambre</t>
        </is>
      </c>
      <c r="D63" s="133" t="n">
        <v>668</v>
      </c>
    </row>
    <row r="64">
      <c r="B64" s="131" t="n">
        <v>2016</v>
      </c>
      <c r="C64" s="132" t="inlineStr">
        <is>
          <t>1 chambre</t>
        </is>
      </c>
      <c r="D64" s="133" t="n">
        <v>679</v>
      </c>
    </row>
    <row r="65">
      <c r="B65" s="131" t="n">
        <v>2017</v>
      </c>
      <c r="C65" s="132" t="inlineStr">
        <is>
          <t>1 chambre</t>
        </is>
      </c>
      <c r="D65" s="133" t="n">
        <v>698</v>
      </c>
    </row>
    <row r="66">
      <c r="B66" s="131" t="n">
        <v>2018</v>
      </c>
      <c r="C66" s="132" t="inlineStr">
        <is>
          <t>1 chambre</t>
        </is>
      </c>
      <c r="D66" s="133" t="n">
        <v>720</v>
      </c>
    </row>
    <row r="67">
      <c r="B67" s="131" t="n">
        <v>2019</v>
      </c>
      <c r="C67" s="132" t="inlineStr">
        <is>
          <t>1 chambre</t>
        </is>
      </c>
      <c r="D67" s="133" t="n">
        <v>754</v>
      </c>
    </row>
    <row r="68">
      <c r="B68" s="131" t="n">
        <v>2020</v>
      </c>
      <c r="C68" s="132" t="inlineStr">
        <is>
          <t>1 chambre</t>
        </is>
      </c>
      <c r="D68" s="133" t="n">
        <v>810</v>
      </c>
    </row>
    <row r="69">
      <c r="B69" s="131" t="n">
        <v>2021</v>
      </c>
      <c r="C69" s="132" t="inlineStr">
        <is>
          <t>1 chambre</t>
        </is>
      </c>
      <c r="D69" s="133" t="n">
        <v>821</v>
      </c>
    </row>
    <row r="70">
      <c r="B70" s="131" t="n">
        <v>2022</v>
      </c>
      <c r="C70" s="132" t="inlineStr">
        <is>
          <t>1 chambre</t>
        </is>
      </c>
      <c r="D70" s="133" t="n">
        <v>912</v>
      </c>
    </row>
    <row r="71">
      <c r="B71" s="131" t="n">
        <v>2023</v>
      </c>
      <c r="C71" s="132" t="inlineStr">
        <is>
          <t>1 chambre</t>
        </is>
      </c>
      <c r="D71" s="133" t="n">
        <v>960</v>
      </c>
    </row>
    <row r="72">
      <c r="B72" s="131" t="n">
        <v>2024</v>
      </c>
      <c r="C72" s="132" t="inlineStr">
        <is>
          <t>1 chambre</t>
        </is>
      </c>
      <c r="D72" s="133" t="n">
        <v>1051</v>
      </c>
    </row>
    <row r="73">
      <c r="B73" s="131" t="n">
        <v>2025</v>
      </c>
      <c r="C73" s="132" t="inlineStr">
        <is>
          <t>1 chambre</t>
        </is>
      </c>
      <c r="D73" s="133" t="n">
        <v>1131</v>
      </c>
    </row>
    <row r="74">
      <c r="B74" s="131" t="n">
        <v>1992</v>
      </c>
      <c r="C74" s="132" t="inlineStr">
        <is>
          <t>2 chambres</t>
        </is>
      </c>
      <c r="D74" s="133" t="n">
        <v>488</v>
      </c>
    </row>
    <row r="75">
      <c r="B75" s="131" t="n">
        <v>1993</v>
      </c>
      <c r="C75" s="132" t="inlineStr">
        <is>
          <t>2 chambres</t>
        </is>
      </c>
      <c r="D75" s="133" t="n">
        <v>484</v>
      </c>
    </row>
    <row r="76">
      <c r="B76" s="131" t="n">
        <v>1994</v>
      </c>
      <c r="C76" s="132" t="inlineStr">
        <is>
          <t>2 chambres</t>
        </is>
      </c>
      <c r="D76" s="133" t="n">
        <v>484</v>
      </c>
    </row>
    <row r="77">
      <c r="B77" s="131" t="n">
        <v>1995</v>
      </c>
      <c r="C77" s="132" t="inlineStr">
        <is>
          <t>2 chambres</t>
        </is>
      </c>
      <c r="D77" s="133" t="n">
        <v>494</v>
      </c>
    </row>
    <row r="78">
      <c r="B78" s="131" t="n">
        <v>1996</v>
      </c>
      <c r="C78" s="132" t="inlineStr">
        <is>
          <t>2 chambres</t>
        </is>
      </c>
      <c r="D78" s="133" t="n">
        <v>491</v>
      </c>
    </row>
    <row r="79">
      <c r="B79" s="131" t="n">
        <v>1997</v>
      </c>
      <c r="C79" s="132" t="inlineStr">
        <is>
          <t>2 chambres</t>
        </is>
      </c>
      <c r="D79" s="133" t="n">
        <v>491</v>
      </c>
    </row>
    <row r="80">
      <c r="B80" s="131" t="n">
        <v>1998</v>
      </c>
      <c r="C80" s="132" t="inlineStr">
        <is>
          <t>2 chambres</t>
        </is>
      </c>
      <c r="D80" s="133" t="n">
        <v>499</v>
      </c>
    </row>
    <row r="81">
      <c r="B81" s="131" t="n">
        <v>1999</v>
      </c>
      <c r="C81" s="132" t="inlineStr">
        <is>
          <t>2 chambres</t>
        </is>
      </c>
      <c r="D81" s="133" t="n">
        <v>506</v>
      </c>
    </row>
    <row r="82">
      <c r="B82" s="131" t="n">
        <v>2000</v>
      </c>
      <c r="C82" s="132" t="inlineStr">
        <is>
          <t>2 chambres</t>
        </is>
      </c>
      <c r="D82" s="133" t="n">
        <v>509</v>
      </c>
    </row>
    <row r="83">
      <c r="B83" s="131" t="n">
        <v>2001</v>
      </c>
      <c r="C83" s="132" t="inlineStr">
        <is>
          <t>2 chambres</t>
        </is>
      </c>
      <c r="D83" s="133" t="n">
        <v>529</v>
      </c>
    </row>
    <row r="84">
      <c r="B84" s="131" t="n">
        <v>2002</v>
      </c>
      <c r="C84" s="132" t="inlineStr">
        <is>
          <t>2 chambres</t>
        </is>
      </c>
      <c r="D84" s="133" t="n">
        <v>552</v>
      </c>
    </row>
    <row r="85">
      <c r="B85" s="131" t="n">
        <v>2003</v>
      </c>
      <c r="C85" s="132" t="inlineStr">
        <is>
          <t>2 chambres</t>
        </is>
      </c>
      <c r="D85" s="133" t="n">
        <v>575</v>
      </c>
    </row>
    <row r="86">
      <c r="B86" s="131" t="n">
        <v>2004</v>
      </c>
      <c r="C86" s="132" t="inlineStr">
        <is>
          <t>2 chambres</t>
        </is>
      </c>
      <c r="D86" s="133" t="n">
        <v>594</v>
      </c>
    </row>
    <row r="87">
      <c r="B87" s="131" t="n">
        <v>2005</v>
      </c>
      <c r="C87" s="132" t="inlineStr">
        <is>
          <t>2 chambres</t>
        </is>
      </c>
      <c r="D87" s="133" t="n">
        <v>616</v>
      </c>
    </row>
    <row r="88">
      <c r="B88" s="131" t="n">
        <v>2006</v>
      </c>
      <c r="C88" s="132" t="inlineStr">
        <is>
          <t>2 chambres</t>
        </is>
      </c>
      <c r="D88" s="133" t="n">
        <v>636</v>
      </c>
    </row>
    <row r="89">
      <c r="B89" s="131" t="n">
        <v>2007</v>
      </c>
      <c r="C89" s="132" t="inlineStr">
        <is>
          <t>2 chambres</t>
        </is>
      </c>
      <c r="D89" s="133" t="n">
        <v>647</v>
      </c>
    </row>
    <row r="90">
      <c r="B90" s="131" t="n">
        <v>2008</v>
      </c>
      <c r="C90" s="132" t="inlineStr">
        <is>
          <t>2 chambres</t>
        </is>
      </c>
      <c r="D90" s="133" t="n">
        <v>659</v>
      </c>
    </row>
    <row r="91">
      <c r="B91" s="131" t="n">
        <v>2009</v>
      </c>
      <c r="C91" s="132" t="inlineStr">
        <is>
          <t>2 chambres</t>
        </is>
      </c>
      <c r="D91" s="133" t="n">
        <v>669</v>
      </c>
    </row>
    <row r="92">
      <c r="B92" s="131" t="n">
        <v>2010</v>
      </c>
      <c r="C92" s="132" t="inlineStr">
        <is>
          <t>2 chambres</t>
        </is>
      </c>
      <c r="D92" s="133" t="n">
        <v>700</v>
      </c>
    </row>
    <row r="93">
      <c r="B93" s="131" t="n">
        <v>2011</v>
      </c>
      <c r="C93" s="132" t="inlineStr">
        <is>
          <t>2 chambres</t>
        </is>
      </c>
      <c r="D93" s="133" t="n">
        <v>719</v>
      </c>
    </row>
    <row r="94">
      <c r="B94" s="131" t="n">
        <v>2012</v>
      </c>
      <c r="C94" s="132" t="inlineStr">
        <is>
          <t>2 chambres</t>
        </is>
      </c>
      <c r="D94" s="133" t="n">
        <v>711</v>
      </c>
    </row>
    <row r="95">
      <c r="B95" s="131" t="n">
        <v>2013</v>
      </c>
      <c r="C95" s="132" t="inlineStr">
        <is>
          <t>2 chambres</t>
        </is>
      </c>
      <c r="D95" s="133" t="n">
        <v>730</v>
      </c>
    </row>
    <row r="96">
      <c r="B96" s="131" t="n">
        <v>2014</v>
      </c>
      <c r="C96" s="132" t="inlineStr">
        <is>
          <t>2 chambres</t>
        </is>
      </c>
      <c r="D96" s="133" t="n">
        <v>739</v>
      </c>
    </row>
    <row r="97">
      <c r="B97" s="131" t="n">
        <v>2015</v>
      </c>
      <c r="C97" s="132" t="inlineStr">
        <is>
          <t>2 chambres</t>
        </is>
      </c>
      <c r="D97" s="133" t="n">
        <v>760</v>
      </c>
    </row>
    <row r="98">
      <c r="B98" s="131" t="n">
        <v>2016</v>
      </c>
      <c r="C98" s="132" t="inlineStr">
        <is>
          <t>2 chambres</t>
        </is>
      </c>
      <c r="D98" s="133" t="n">
        <v>791</v>
      </c>
    </row>
    <row r="99">
      <c r="B99" s="131" t="n">
        <v>2017</v>
      </c>
      <c r="C99" s="132" t="inlineStr">
        <is>
          <t>2 chambres</t>
        </is>
      </c>
      <c r="D99" s="133" t="n">
        <v>782</v>
      </c>
    </row>
    <row r="100">
      <c r="B100" s="131" t="n">
        <v>2018</v>
      </c>
      <c r="C100" s="132" t="inlineStr">
        <is>
          <t>2 chambres</t>
        </is>
      </c>
      <c r="D100" s="133" t="n">
        <v>809</v>
      </c>
    </row>
    <row r="101">
      <c r="B101" s="131" t="n">
        <v>2019</v>
      </c>
      <c r="C101" s="132" t="inlineStr">
        <is>
          <t>2 chambres</t>
        </is>
      </c>
      <c r="D101" s="133" t="n">
        <v>855</v>
      </c>
    </row>
    <row r="102">
      <c r="B102" s="131" t="n">
        <v>2020</v>
      </c>
      <c r="C102" s="132" t="inlineStr">
        <is>
          <t>2 chambres</t>
        </is>
      </c>
      <c r="D102" s="133" t="n">
        <v>903</v>
      </c>
    </row>
    <row r="103">
      <c r="B103" s="131" t="n">
        <v>2021</v>
      </c>
      <c r="C103" s="132" t="inlineStr">
        <is>
          <t>2 chambres</t>
        </is>
      </c>
      <c r="D103" s="133" t="n">
        <v>932</v>
      </c>
    </row>
    <row r="104">
      <c r="B104" s="131" t="n">
        <v>2022</v>
      </c>
      <c r="C104" s="132" t="inlineStr">
        <is>
          <t>2 chambres</t>
        </is>
      </c>
      <c r="D104" s="133" t="n">
        <v>1022</v>
      </c>
    </row>
    <row r="105">
      <c r="B105" s="131" t="n">
        <v>2023</v>
      </c>
      <c r="C105" s="132" t="inlineStr">
        <is>
          <t>2 chambres</t>
        </is>
      </c>
      <c r="D105" s="133" t="n">
        <v>1096</v>
      </c>
    </row>
    <row r="106">
      <c r="B106" s="131" t="n">
        <v>2024</v>
      </c>
      <c r="C106" s="132" t="inlineStr">
        <is>
          <t>2 chambres</t>
        </is>
      </c>
      <c r="D106" s="133" t="n">
        <v>1176</v>
      </c>
    </row>
    <row r="107">
      <c r="B107" s="131" t="n">
        <v>2025</v>
      </c>
      <c r="C107" s="132" t="inlineStr">
        <is>
          <t>2 chambres</t>
        </is>
      </c>
      <c r="D107" s="133" t="n">
        <v>1346</v>
      </c>
    </row>
    <row r="108">
      <c r="B108" s="131" t="n">
        <v>1992</v>
      </c>
      <c r="C108" s="132" t="inlineStr">
        <is>
          <t>3 chambres</t>
        </is>
      </c>
      <c r="D108" s="133" t="n">
        <v>583</v>
      </c>
    </row>
    <row r="109">
      <c r="B109" s="131" t="n">
        <v>1993</v>
      </c>
      <c r="C109" s="132" t="inlineStr">
        <is>
          <t>3 chambres</t>
        </is>
      </c>
      <c r="D109" s="133" t="n">
        <v>576</v>
      </c>
    </row>
    <row r="110">
      <c r="B110" s="131" t="n">
        <v>1994</v>
      </c>
      <c r="C110" s="132" t="inlineStr">
        <is>
          <t>3 chambres</t>
        </is>
      </c>
      <c r="D110" s="133" t="n">
        <v>583</v>
      </c>
    </row>
    <row r="111">
      <c r="B111" s="131" t="n">
        <v>1995</v>
      </c>
      <c r="C111" s="132" t="inlineStr">
        <is>
          <t>3 chambres</t>
        </is>
      </c>
      <c r="D111" s="133" t="n">
        <v>599</v>
      </c>
    </row>
    <row r="112">
      <c r="B112" s="131" t="n">
        <v>1996</v>
      </c>
      <c r="C112" s="132" t="inlineStr">
        <is>
          <t>3 chambres</t>
        </is>
      </c>
      <c r="D112" s="133" t="n">
        <v>583</v>
      </c>
    </row>
    <row r="113">
      <c r="B113" s="131" t="n">
        <v>1997</v>
      </c>
      <c r="C113" s="132" t="inlineStr">
        <is>
          <t>3 chambres</t>
        </is>
      </c>
      <c r="D113" s="133" t="n">
        <v>592</v>
      </c>
    </row>
    <row r="114">
      <c r="B114" s="131" t="n">
        <v>1998</v>
      </c>
      <c r="C114" s="132" t="inlineStr">
        <is>
          <t>3 chambres</t>
        </is>
      </c>
      <c r="D114" s="133" t="n">
        <v>596</v>
      </c>
    </row>
    <row r="115">
      <c r="B115" s="131" t="n">
        <v>1999</v>
      </c>
      <c r="C115" s="132" t="inlineStr">
        <is>
          <t>3 chambres</t>
        </is>
      </c>
      <c r="D115" s="133" t="n">
        <v>613</v>
      </c>
    </row>
    <row r="116">
      <c r="B116" s="131" t="n">
        <v>2000</v>
      </c>
      <c r="C116" s="132" t="inlineStr">
        <is>
          <t>3 chambres</t>
        </is>
      </c>
      <c r="D116" s="133" t="n">
        <v>630</v>
      </c>
    </row>
    <row r="117">
      <c r="B117" s="131" t="n">
        <v>2001</v>
      </c>
      <c r="C117" s="132" t="inlineStr">
        <is>
          <t>3 chambres</t>
        </is>
      </c>
      <c r="D117" s="133" t="n">
        <v>650</v>
      </c>
    </row>
    <row r="118">
      <c r="B118" s="131" t="n">
        <v>2002</v>
      </c>
      <c r="C118" s="132" t="inlineStr">
        <is>
          <t>3 chambres</t>
        </is>
      </c>
      <c r="D118" s="133" t="n">
        <v>687</v>
      </c>
    </row>
    <row r="119">
      <c r="B119" s="131" t="n">
        <v>2003</v>
      </c>
      <c r="C119" s="132" t="inlineStr">
        <is>
          <t>3 chambres</t>
        </is>
      </c>
      <c r="D119" s="133" t="n">
        <v>710</v>
      </c>
    </row>
    <row r="120">
      <c r="B120" s="131" t="n">
        <v>2004</v>
      </c>
      <c r="C120" s="132" t="inlineStr">
        <is>
          <t>3 chambres</t>
        </is>
      </c>
      <c r="D120" s="133" t="n">
        <v>727</v>
      </c>
    </row>
    <row r="121">
      <c r="B121" s="131" t="n">
        <v>2005</v>
      </c>
      <c r="C121" s="132" t="inlineStr">
        <is>
          <t>3 chambres</t>
        </is>
      </c>
      <c r="D121" s="133" t="n">
        <v>742</v>
      </c>
    </row>
    <row r="122">
      <c r="B122" s="131" t="n">
        <v>2006</v>
      </c>
      <c r="C122" s="132" t="inlineStr">
        <is>
          <t>3 chambres</t>
        </is>
      </c>
      <c r="D122" s="133" t="n">
        <v>775</v>
      </c>
    </row>
    <row r="123">
      <c r="B123" s="131" t="n">
        <v>2007</v>
      </c>
      <c r="C123" s="132" t="inlineStr">
        <is>
          <t>3 chambres</t>
        </is>
      </c>
      <c r="D123" s="133" t="n">
        <v>806</v>
      </c>
    </row>
    <row r="124">
      <c r="B124" s="131" t="n">
        <v>2008</v>
      </c>
      <c r="C124" s="132" t="inlineStr">
        <is>
          <t>3 chambres</t>
        </is>
      </c>
      <c r="D124" s="133" t="n">
        <v>799</v>
      </c>
    </row>
    <row r="125">
      <c r="B125" s="131" t="n">
        <v>2009</v>
      </c>
      <c r="C125" s="132" t="inlineStr">
        <is>
          <t>3 chambres</t>
        </is>
      </c>
      <c r="D125" s="133" t="n">
        <v>812</v>
      </c>
    </row>
    <row r="126">
      <c r="B126" s="131" t="n">
        <v>2010</v>
      </c>
      <c r="C126" s="132" t="inlineStr">
        <is>
          <t>3 chambres</t>
        </is>
      </c>
      <c r="D126" s="133" t="n">
        <v>860</v>
      </c>
    </row>
    <row r="127">
      <c r="B127" s="131" t="n">
        <v>2011</v>
      </c>
      <c r="C127" s="132" t="inlineStr">
        <is>
          <t>3 chambres</t>
        </is>
      </c>
      <c r="D127" s="133" t="n">
        <v>865</v>
      </c>
    </row>
    <row r="128">
      <c r="B128" s="131" t="n">
        <v>2012</v>
      </c>
      <c r="C128" s="132" t="inlineStr">
        <is>
          <t>3 chambres</t>
        </is>
      </c>
      <c r="D128" s="133" t="n">
        <v>875</v>
      </c>
    </row>
    <row r="129">
      <c r="B129" s="131" t="n">
        <v>2013</v>
      </c>
      <c r="C129" s="132" t="inlineStr">
        <is>
          <t>3 chambres</t>
        </is>
      </c>
      <c r="D129" s="133" t="n">
        <v>878</v>
      </c>
    </row>
    <row r="130">
      <c r="B130" s="131" t="n">
        <v>2014</v>
      </c>
      <c r="C130" s="132" t="inlineStr">
        <is>
          <t>3 chambres</t>
        </is>
      </c>
      <c r="D130" s="133" t="n">
        <v>898</v>
      </c>
    </row>
    <row r="131">
      <c r="B131" s="131" t="n">
        <v>2015</v>
      </c>
      <c r="C131" s="132" t="inlineStr">
        <is>
          <t>3 chambres</t>
        </is>
      </c>
      <c r="D131" s="133" t="n">
        <v>952</v>
      </c>
    </row>
    <row r="132">
      <c r="B132" s="131" t="n">
        <v>2016</v>
      </c>
      <c r="C132" s="132" t="inlineStr">
        <is>
          <t>3 chambres</t>
        </is>
      </c>
      <c r="D132" s="133" t="n">
        <v>956</v>
      </c>
    </row>
    <row r="133">
      <c r="B133" s="131" t="n">
        <v>2017</v>
      </c>
      <c r="C133" s="132" t="inlineStr">
        <is>
          <t>3 chambres</t>
        </is>
      </c>
      <c r="D133" s="133" t="n">
        <v>965</v>
      </c>
    </row>
    <row r="134">
      <c r="B134" s="131" t="n">
        <v>2018</v>
      </c>
      <c r="C134" s="132" t="inlineStr">
        <is>
          <t>3 chambres</t>
        </is>
      </c>
      <c r="D134" s="133" t="n">
        <v>1007</v>
      </c>
    </row>
    <row r="135">
      <c r="B135" s="131" t="n">
        <v>2019</v>
      </c>
      <c r="C135" s="132" t="inlineStr">
        <is>
          <t>3 chambres</t>
        </is>
      </c>
      <c r="D135" s="133" t="n">
        <v>1070</v>
      </c>
    </row>
    <row r="136">
      <c r="B136" s="131" t="n">
        <v>2020</v>
      </c>
      <c r="C136" s="132" t="inlineStr">
        <is>
          <t>3 chambres</t>
        </is>
      </c>
      <c r="D136" s="133" t="n">
        <v>1112</v>
      </c>
    </row>
    <row r="137">
      <c r="B137" s="131" t="n">
        <v>2021</v>
      </c>
      <c r="C137" s="132" t="inlineStr">
        <is>
          <t>3 chambres</t>
        </is>
      </c>
      <c r="D137" s="133" t="n">
        <v>1144</v>
      </c>
    </row>
    <row r="138">
      <c r="B138" s="131" t="n">
        <v>2022</v>
      </c>
      <c r="C138" s="132" t="inlineStr">
        <is>
          <t>3 chambres</t>
        </is>
      </c>
      <c r="D138" s="133" t="n">
        <v>1230</v>
      </c>
    </row>
    <row r="139">
      <c r="B139" s="131" t="n">
        <v>2023</v>
      </c>
      <c r="C139" s="132" t="inlineStr">
        <is>
          <t>3 chambres</t>
        </is>
      </c>
      <c r="D139" s="133" t="n">
        <v>1323</v>
      </c>
    </row>
    <row r="140">
      <c r="B140" s="131" t="n">
        <v>2024</v>
      </c>
      <c r="C140" s="132" t="inlineStr">
        <is>
          <t>3 chambres</t>
        </is>
      </c>
      <c r="D140" s="133" t="n">
        <v>1488</v>
      </c>
    </row>
    <row r="141">
      <c r="B141" s="131" t="n">
        <v>2025</v>
      </c>
      <c r="C141" s="132" t="inlineStr">
        <is>
          <t>3 chambres</t>
        </is>
      </c>
      <c r="D141" s="133" t="n">
        <v>1626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0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H39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9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</cols>
  <sheetData>
    <row r="1" ht="34" customHeight="1">
      <c r="A1" s="1" t="n"/>
      <c r="B1" s="30" t="inlineStr">
        <is>
          <t>Grandes villes</t>
        </is>
      </c>
      <c r="C1" s="1" t="n"/>
      <c r="D1" s="1" t="n"/>
      <c r="E1" s="1" t="n"/>
      <c r="F1" s="1" t="n"/>
      <c r="G1" s="1" t="n"/>
      <c r="H1" s="31">
        <f>HYPERLINK("#'Accueil'!A1","← Accueil")</f>
        <v/>
      </c>
    </row>
    <row r="2" ht="20" customHeight="1">
      <c r="A2" s="1" t="n"/>
      <c r="B2" s="3" t="inlineStr">
        <is>
          <t>Statistique Canada 34-10-0133-01 · loyer moyen d'un 2 chambres, octobre</t>
        </is>
      </c>
      <c r="C2" s="1" t="n"/>
      <c r="D2" s="1" t="n"/>
      <c r="E2" s="1" t="n"/>
      <c r="F2" s="1" t="n"/>
      <c r="G2" s="1" t="n"/>
      <c r="H2" s="1" t="n"/>
    </row>
    <row r="3" ht="5" customHeight="1">
      <c r="A3" s="4" t="n"/>
      <c r="B3" s="4" t="n"/>
      <c r="C3" s="4" t="n"/>
      <c r="D3" s="4" t="n"/>
      <c r="E3" s="5" t="n"/>
      <c r="F3" s="5" t="n"/>
      <c r="G3" s="5" t="n"/>
      <c r="H3" s="5" t="n"/>
    </row>
    <row r="5" ht="30" customHeight="1">
      <c r="B5" s="46" t="inlineStr">
        <is>
          <t>Année</t>
        </is>
      </c>
      <c r="C5" s="46" t="inlineStr">
        <is>
          <t>Montréal</t>
        </is>
      </c>
      <c r="D5" s="46" t="inlineStr">
        <is>
          <t>Québec</t>
        </is>
      </c>
      <c r="E5" s="46" t="inlineStr">
        <is>
          <t>Ottawa-Gatineau</t>
        </is>
      </c>
      <c r="F5" s="46" t="inlineStr">
        <is>
          <t>Toronto</t>
        </is>
      </c>
      <c r="G5" s="46" t="inlineStr">
        <is>
          <t>Calgary</t>
        </is>
      </c>
      <c r="H5" s="46" t="inlineStr">
        <is>
          <t>Vancouver</t>
        </is>
      </c>
    </row>
    <row r="6">
      <c r="B6" s="131" t="n">
        <v>1992</v>
      </c>
      <c r="C6" s="133" t="n">
        <v>488</v>
      </c>
      <c r="D6" s="133" t="n">
        <v>501</v>
      </c>
      <c r="E6" s="133" t="n">
        <v>647</v>
      </c>
      <c r="F6" s="133" t="n">
        <v>754</v>
      </c>
      <c r="G6" s="133" t="n">
        <v>598</v>
      </c>
      <c r="H6" s="133" t="n">
        <v>771</v>
      </c>
    </row>
    <row r="7">
      <c r="B7" s="131" t="n">
        <v>1993</v>
      </c>
      <c r="C7" s="133" t="n">
        <v>484</v>
      </c>
      <c r="D7" s="133" t="n">
        <v>502</v>
      </c>
      <c r="E7" s="133" t="n">
        <v>667</v>
      </c>
      <c r="F7" s="133" t="n">
        <v>773</v>
      </c>
      <c r="G7" s="133" t="n">
        <v>584</v>
      </c>
      <c r="H7" s="133" t="n">
        <v>790</v>
      </c>
    </row>
    <row r="8">
      <c r="B8" s="131" t="n">
        <v>1994</v>
      </c>
      <c r="C8" s="133" t="n">
        <v>484</v>
      </c>
      <c r="D8" s="133" t="n">
        <v>501</v>
      </c>
      <c r="E8" s="133" t="n">
        <v>676</v>
      </c>
      <c r="F8" s="133" t="n">
        <v>784</v>
      </c>
      <c r="G8" s="133" t="n">
        <v>585</v>
      </c>
      <c r="H8" s="133" t="n">
        <v>812</v>
      </c>
    </row>
    <row r="9">
      <c r="B9" s="131" t="n">
        <v>1995</v>
      </c>
      <c r="C9" s="133" t="n">
        <v>494</v>
      </c>
      <c r="D9" s="133" t="n">
        <v>513</v>
      </c>
      <c r="E9" s="133" t="n">
        <v>677</v>
      </c>
      <c r="F9" s="133" t="n">
        <v>805</v>
      </c>
      <c r="G9" s="133" t="n">
        <v>584</v>
      </c>
      <c r="H9" s="133" t="n">
        <v>826</v>
      </c>
    </row>
    <row r="10">
      <c r="B10" s="131" t="n">
        <v>1996</v>
      </c>
      <c r="C10" s="133" t="n">
        <v>491</v>
      </c>
      <c r="D10" s="133" t="n">
        <v>511</v>
      </c>
      <c r="E10" s="133" t="n">
        <v>679</v>
      </c>
      <c r="F10" s="133" t="n">
        <v>819</v>
      </c>
      <c r="G10" s="133" t="n">
        <v>595</v>
      </c>
      <c r="H10" s="133" t="n">
        <v>845</v>
      </c>
    </row>
    <row r="11">
      <c r="B11" s="131" t="n">
        <v>1997</v>
      </c>
      <c r="C11" s="133" t="n">
        <v>491</v>
      </c>
      <c r="D11" s="133" t="n">
        <v>513</v>
      </c>
      <c r="E11" s="133" t="n">
        <v>669</v>
      </c>
      <c r="F11" s="133" t="n">
        <v>821</v>
      </c>
      <c r="G11" s="133" t="n">
        <v>635</v>
      </c>
      <c r="H11" s="133" t="n">
        <v>852</v>
      </c>
    </row>
    <row r="12">
      <c r="B12" s="131" t="n">
        <v>1998</v>
      </c>
      <c r="C12" s="133" t="n">
        <v>499</v>
      </c>
      <c r="D12" s="133" t="n">
        <v>513</v>
      </c>
      <c r="E12" s="133" t="n">
        <v>687</v>
      </c>
      <c r="F12" s="133" t="n">
        <v>881</v>
      </c>
      <c r="G12" s="133" t="n">
        <v>707</v>
      </c>
      <c r="H12" s="133" t="n">
        <v>870</v>
      </c>
    </row>
    <row r="13">
      <c r="B13" s="131" t="n">
        <v>1999</v>
      </c>
      <c r="C13" s="133" t="n">
        <v>506</v>
      </c>
      <c r="D13" s="133" t="n">
        <v>511</v>
      </c>
      <c r="E13" s="133" t="n">
        <v>706</v>
      </c>
      <c r="F13" s="133" t="n">
        <v>916</v>
      </c>
      <c r="G13" s="133" t="n">
        <v>739</v>
      </c>
      <c r="H13" s="133" t="n">
        <v>864</v>
      </c>
    </row>
    <row r="14">
      <c r="B14" s="131" t="n">
        <v>2000</v>
      </c>
      <c r="C14" s="133" t="n">
        <v>509</v>
      </c>
      <c r="D14" s="133" t="n">
        <v>518</v>
      </c>
      <c r="E14" s="133" t="n">
        <v>778</v>
      </c>
      <c r="F14" s="133" t="n">
        <v>979</v>
      </c>
      <c r="G14" s="133" t="n">
        <v>740</v>
      </c>
      <c r="H14" s="133" t="n">
        <v>890</v>
      </c>
    </row>
    <row r="15">
      <c r="B15" s="131" t="n">
        <v>2001</v>
      </c>
      <c r="C15" s="133" t="n">
        <v>529</v>
      </c>
      <c r="D15" s="133" t="n">
        <v>538</v>
      </c>
      <c r="E15" s="133" t="n">
        <v>811</v>
      </c>
      <c r="F15" s="133" t="n">
        <v>1027</v>
      </c>
      <c r="G15" s="133" t="n">
        <v>783</v>
      </c>
      <c r="H15" s="133" t="n">
        <v>919</v>
      </c>
    </row>
    <row r="16">
      <c r="B16" s="131" t="n">
        <v>2002</v>
      </c>
      <c r="C16" s="133" t="n">
        <v>552</v>
      </c>
      <c r="D16" s="133" t="n">
        <v>550</v>
      </c>
      <c r="E16" s="133" t="n">
        <v>832</v>
      </c>
      <c r="F16" s="133" t="n">
        <v>1047</v>
      </c>
      <c r="G16" s="133" t="n">
        <v>804</v>
      </c>
      <c r="H16" s="133" t="n">
        <v>954</v>
      </c>
    </row>
    <row r="17">
      <c r="B17" s="131" t="n">
        <v>2003</v>
      </c>
      <c r="C17" s="133" t="n">
        <v>575</v>
      </c>
      <c r="D17" s="133" t="n">
        <v>567</v>
      </c>
      <c r="E17" s="133" t="n">
        <v>842</v>
      </c>
      <c r="F17" s="133" t="n">
        <v>1040</v>
      </c>
      <c r="G17" s="133" t="n">
        <v>804</v>
      </c>
      <c r="H17" s="133" t="n">
        <v>965</v>
      </c>
    </row>
    <row r="18">
      <c r="B18" s="131" t="n">
        <v>2004</v>
      </c>
      <c r="C18" s="133" t="n">
        <v>594</v>
      </c>
      <c r="D18" s="133" t="n">
        <v>596</v>
      </c>
      <c r="E18" s="133" t="n">
        <v>856</v>
      </c>
      <c r="F18" s="133" t="n">
        <v>1052</v>
      </c>
      <c r="G18" s="133" t="n">
        <v>806</v>
      </c>
      <c r="H18" s="133" t="n">
        <v>984</v>
      </c>
    </row>
    <row r="19">
      <c r="B19" s="131" t="n">
        <v>2005</v>
      </c>
      <c r="C19" s="133" t="n">
        <v>616</v>
      </c>
      <c r="D19" s="133" t="n">
        <v>621</v>
      </c>
      <c r="E19" s="133" t="n">
        <v>837</v>
      </c>
      <c r="F19" s="133" t="n">
        <v>1052</v>
      </c>
      <c r="G19" s="133" t="n">
        <v>808</v>
      </c>
      <c r="H19" s="133" t="n">
        <v>1004</v>
      </c>
    </row>
    <row r="20">
      <c r="B20" s="131" t="n">
        <v>2006</v>
      </c>
      <c r="C20" s="133" t="n">
        <v>636</v>
      </c>
      <c r="D20" s="133" t="n">
        <v>637</v>
      </c>
      <c r="E20" s="133" t="n">
        <v>853</v>
      </c>
      <c r="F20" s="133" t="n">
        <v>1067</v>
      </c>
      <c r="G20" s="133" t="n">
        <v>960</v>
      </c>
      <c r="H20" s="133" t="n">
        <v>1045</v>
      </c>
    </row>
    <row r="21">
      <c r="B21" s="131" t="n">
        <v>2007</v>
      </c>
      <c r="C21" s="133" t="n">
        <v>647</v>
      </c>
      <c r="D21" s="133" t="n">
        <v>641</v>
      </c>
      <c r="E21" s="133" t="n">
        <v>866</v>
      </c>
      <c r="F21" s="133" t="n">
        <v>1061</v>
      </c>
      <c r="G21" s="133" t="n">
        <v>1089</v>
      </c>
      <c r="H21" s="133" t="n">
        <v>1084</v>
      </c>
    </row>
    <row r="22">
      <c r="B22" s="131" t="n">
        <v>2008</v>
      </c>
      <c r="C22" s="133" t="n">
        <v>659</v>
      </c>
      <c r="D22" s="133" t="n">
        <v>653</v>
      </c>
      <c r="E22" s="133" t="n">
        <v>896</v>
      </c>
      <c r="F22" s="133" t="n">
        <v>1095</v>
      </c>
      <c r="G22" s="133" t="n">
        <v>1148</v>
      </c>
      <c r="H22" s="133" t="n">
        <v>1124</v>
      </c>
    </row>
    <row r="23">
      <c r="B23" s="131" t="n">
        <v>2009</v>
      </c>
      <c r="C23" s="133" t="n">
        <v>669</v>
      </c>
      <c r="D23" s="133" t="n">
        <v>676</v>
      </c>
      <c r="E23" s="133" t="n">
        <v>924</v>
      </c>
      <c r="F23" s="133" t="n">
        <v>1096</v>
      </c>
      <c r="G23" s="133" t="n">
        <v>1099</v>
      </c>
      <c r="H23" s="133" t="n">
        <v>1169</v>
      </c>
    </row>
    <row r="24">
      <c r="B24" s="131" t="n">
        <v>2010</v>
      </c>
      <c r="C24" s="133" t="n">
        <v>700</v>
      </c>
      <c r="D24" s="133" t="n">
        <v>692</v>
      </c>
      <c r="E24" s="133" t="n">
        <v>940</v>
      </c>
      <c r="F24" s="133" t="n">
        <v>1123</v>
      </c>
      <c r="G24" s="133" t="n">
        <v>1069</v>
      </c>
      <c r="H24" s="133" t="n">
        <v>1195</v>
      </c>
    </row>
    <row r="25">
      <c r="B25" s="131" t="n">
        <v>2011</v>
      </c>
      <c r="C25" s="133" t="n">
        <v>719</v>
      </c>
      <c r="D25" s="133" t="n">
        <v>718</v>
      </c>
      <c r="E25" s="133" t="n">
        <v>972</v>
      </c>
      <c r="F25" s="133" t="n">
        <v>1149</v>
      </c>
      <c r="G25" s="133" t="n">
        <v>1084</v>
      </c>
      <c r="H25" s="133" t="n">
        <v>1237</v>
      </c>
    </row>
    <row r="26">
      <c r="B26" s="131" t="n">
        <v>2012</v>
      </c>
      <c r="C26" s="133" t="n">
        <v>711</v>
      </c>
      <c r="D26" s="133" t="n">
        <v>741</v>
      </c>
      <c r="E26" s="133" t="n">
        <v>986</v>
      </c>
      <c r="F26" s="133" t="n">
        <v>1183</v>
      </c>
      <c r="G26" s="133" t="n">
        <v>1150</v>
      </c>
      <c r="H26" s="133" t="n">
        <v>1261</v>
      </c>
    </row>
    <row r="27">
      <c r="B27" s="131" t="n">
        <v>2013</v>
      </c>
      <c r="C27" s="133" t="n">
        <v>730</v>
      </c>
      <c r="D27" s="133" t="n">
        <v>757</v>
      </c>
      <c r="E27" s="133" t="n">
        <v>1003</v>
      </c>
      <c r="F27" s="133" t="n">
        <v>1213</v>
      </c>
      <c r="G27" s="133" t="n">
        <v>1224</v>
      </c>
      <c r="H27" s="133" t="n">
        <v>1281</v>
      </c>
    </row>
    <row r="28">
      <c r="B28" s="131" t="n">
        <v>2014</v>
      </c>
      <c r="C28" s="133" t="n">
        <v>739</v>
      </c>
      <c r="D28" s="133" t="n">
        <v>775</v>
      </c>
      <c r="E28" s="133" t="n">
        <v>1009</v>
      </c>
      <c r="F28" s="133" t="n">
        <v>1251</v>
      </c>
      <c r="G28" s="133" t="n">
        <v>1322</v>
      </c>
      <c r="H28" s="133" t="n">
        <v>1311</v>
      </c>
    </row>
    <row r="29">
      <c r="B29" s="131" t="n">
        <v>2015</v>
      </c>
      <c r="C29" s="133" t="n">
        <v>760</v>
      </c>
      <c r="D29" s="133" t="n">
        <v>788</v>
      </c>
      <c r="E29" s="133" t="n">
        <v>1037</v>
      </c>
      <c r="F29" s="133" t="n">
        <v>1288</v>
      </c>
      <c r="G29" s="133" t="n">
        <v>1332</v>
      </c>
      <c r="H29" s="133" t="n">
        <v>1368</v>
      </c>
    </row>
    <row r="30">
      <c r="B30" s="131" t="n">
        <v>2016</v>
      </c>
      <c r="C30" s="133" t="n">
        <v>791</v>
      </c>
      <c r="D30" s="133" t="n">
        <v>808</v>
      </c>
      <c r="E30" s="133" t="n">
        <v>1055</v>
      </c>
      <c r="F30" s="133" t="n">
        <v>1327</v>
      </c>
      <c r="G30" s="133" t="n">
        <v>1258</v>
      </c>
      <c r="H30" s="133" t="n">
        <v>1450</v>
      </c>
    </row>
    <row r="31">
      <c r="B31" s="131" t="n">
        <v>2017</v>
      </c>
      <c r="C31" s="133" t="n">
        <v>782</v>
      </c>
      <c r="D31" s="133" t="n">
        <v>820</v>
      </c>
      <c r="E31" s="133" t="n">
        <v>1080</v>
      </c>
      <c r="F31" s="133" t="n">
        <v>1404</v>
      </c>
      <c r="G31" s="133" t="n">
        <v>1247</v>
      </c>
      <c r="H31" s="133" t="n">
        <v>1552</v>
      </c>
    </row>
    <row r="32">
      <c r="B32" s="131" t="n">
        <v>2018</v>
      </c>
      <c r="C32" s="133" t="n">
        <v>809</v>
      </c>
      <c r="D32" s="133" t="n">
        <v>839</v>
      </c>
      <c r="E32" s="133" t="n">
        <v>1133</v>
      </c>
      <c r="F32" s="133" t="n">
        <v>1467</v>
      </c>
      <c r="G32" s="133" t="n">
        <v>1272</v>
      </c>
      <c r="H32" s="133" t="n">
        <v>1649</v>
      </c>
    </row>
    <row r="33">
      <c r="B33" s="131" t="n">
        <v>2019</v>
      </c>
      <c r="C33" s="133" t="n">
        <v>855</v>
      </c>
      <c r="D33" s="133" t="n">
        <v>862</v>
      </c>
      <c r="E33" s="133" t="n">
        <v>1236</v>
      </c>
      <c r="F33" s="133" t="n">
        <v>1562</v>
      </c>
      <c r="G33" s="133" t="n">
        <v>1305</v>
      </c>
      <c r="H33" s="133" t="n">
        <v>1748</v>
      </c>
    </row>
    <row r="34">
      <c r="B34" s="131" t="n">
        <v>2020</v>
      </c>
      <c r="C34" s="133" t="n">
        <v>903</v>
      </c>
      <c r="D34" s="133" t="n">
        <v>899</v>
      </c>
      <c r="E34" s="133" t="n">
        <v>1310</v>
      </c>
      <c r="F34" s="133" t="n">
        <v>1635</v>
      </c>
      <c r="G34" s="133" t="n">
        <v>1323</v>
      </c>
      <c r="H34" s="133" t="n">
        <v>1792</v>
      </c>
    </row>
    <row r="35">
      <c r="B35" s="131" t="n">
        <v>2021</v>
      </c>
      <c r="C35" s="133" t="n">
        <v>932</v>
      </c>
      <c r="D35" s="133" t="n">
        <v>945</v>
      </c>
      <c r="E35" s="133" t="n">
        <v>1375</v>
      </c>
      <c r="F35" s="133" t="n">
        <v>1679</v>
      </c>
      <c r="G35" s="133" t="n">
        <v>1355</v>
      </c>
      <c r="H35" s="133" t="n">
        <v>1824</v>
      </c>
    </row>
    <row r="36">
      <c r="B36" s="131" t="n">
        <v>2022</v>
      </c>
      <c r="C36" s="133" t="n">
        <v>1022</v>
      </c>
      <c r="D36" s="133" t="n">
        <v>976</v>
      </c>
      <c r="E36" s="133" t="n">
        <v>1494</v>
      </c>
      <c r="F36" s="133" t="n">
        <v>1779</v>
      </c>
      <c r="G36" s="133" t="n">
        <v>1466</v>
      </c>
      <c r="H36" s="133" t="n">
        <v>2002</v>
      </c>
    </row>
    <row r="37">
      <c r="B37" s="131" t="n">
        <v>2023</v>
      </c>
      <c r="C37" s="133" t="n">
        <v>1096</v>
      </c>
      <c r="D37" s="133" t="n">
        <v>1040</v>
      </c>
      <c r="E37" s="133" t="n">
        <v>1544</v>
      </c>
      <c r="F37" s="133" t="n">
        <v>1961</v>
      </c>
      <c r="G37" s="133" t="n">
        <v>1695</v>
      </c>
      <c r="H37" s="133" t="n">
        <v>2181</v>
      </c>
    </row>
    <row r="38">
      <c r="B38" s="131" t="n">
        <v>2024</v>
      </c>
      <c r="C38" s="133" t="n">
        <v>1176</v>
      </c>
      <c r="D38" s="133" t="n">
        <v>1159</v>
      </c>
      <c r="E38" s="133" t="n">
        <v>1687</v>
      </c>
      <c r="F38" s="133" t="n">
        <v>1974</v>
      </c>
      <c r="G38" s="133" t="n">
        <v>1882</v>
      </c>
      <c r="H38" s="133" t="n">
        <v>2314</v>
      </c>
    </row>
    <row r="39">
      <c r="B39" s="131" t="n">
        <v>2025</v>
      </c>
      <c r="C39" s="133" t="n">
        <v>1346</v>
      </c>
      <c r="D39" s="133" t="n">
        <v>1277</v>
      </c>
      <c r="E39" s="133" t="n">
        <v>1764</v>
      </c>
      <c r="F39" s="133" t="n">
        <v>2046</v>
      </c>
      <c r="G39" s="133" t="n">
        <v>1914</v>
      </c>
      <c r="H39" s="133" t="n">
        <v>2363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1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C39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9" customWidth="1" min="2" max="2"/>
    <col width="24" customWidth="1" min="3" max="3"/>
  </cols>
  <sheetData>
    <row r="1" ht="34" customHeight="1">
      <c r="A1" s="1" t="n"/>
      <c r="B1" s="30" t="inlineStr">
        <is>
          <t>IPC Montréal</t>
        </is>
      </c>
      <c r="C1" s="31">
        <f>HYPERLINK("#'Accueil'!A1","← Accueil")</f>
        <v/>
      </c>
    </row>
    <row r="2" ht="20" customHeight="1">
      <c r="A2" s="1" t="n"/>
      <c r="B2" s="3" t="inlineStr">
        <is>
          <t>Statistique Canada 18-10-0005-01 · moyenne annuelle</t>
        </is>
      </c>
      <c r="C2" s="1" t="n"/>
    </row>
    <row r="3" ht="5" customHeight="1">
      <c r="A3" s="4" t="n"/>
      <c r="B3" s="5" t="n"/>
      <c r="C3" s="5" t="n"/>
    </row>
    <row r="5" ht="30" customHeight="1">
      <c r="B5" s="46" t="inlineStr">
        <is>
          <t>Année</t>
        </is>
      </c>
      <c r="C5" s="46" t="inlineStr">
        <is>
          <t>IPC d'ensemble (2002 = 100)</t>
        </is>
      </c>
    </row>
    <row r="6">
      <c r="B6" s="131" t="n">
        <v>1992</v>
      </c>
      <c r="C6" s="134" t="n">
        <v>86.40000000000001</v>
      </c>
    </row>
    <row r="7">
      <c r="B7" s="131" t="n">
        <v>1993</v>
      </c>
      <c r="C7" s="134" t="n">
        <v>87.7</v>
      </c>
    </row>
    <row r="8">
      <c r="B8" s="131" t="n">
        <v>1994</v>
      </c>
      <c r="C8" s="134" t="n">
        <v>86.40000000000001</v>
      </c>
    </row>
    <row r="9">
      <c r="B9" s="131" t="n">
        <v>1995</v>
      </c>
      <c r="C9" s="134" t="n">
        <v>87.90000000000001</v>
      </c>
    </row>
    <row r="10">
      <c r="B10" s="131" t="n">
        <v>1996</v>
      </c>
      <c r="C10" s="134" t="n">
        <v>89.40000000000001</v>
      </c>
    </row>
    <row r="11">
      <c r="B11" s="131" t="n">
        <v>1997</v>
      </c>
      <c r="C11" s="134" t="n">
        <v>90.59999999999999</v>
      </c>
    </row>
    <row r="12">
      <c r="B12" s="131" t="n">
        <v>1998</v>
      </c>
      <c r="C12" s="134" t="n">
        <v>92</v>
      </c>
    </row>
    <row r="13">
      <c r="B13" s="131" t="n">
        <v>1999</v>
      </c>
      <c r="C13" s="134" t="n">
        <v>93.5</v>
      </c>
    </row>
    <row r="14">
      <c r="B14" s="131" t="n">
        <v>2000</v>
      </c>
      <c r="C14" s="134" t="n">
        <v>95.7</v>
      </c>
    </row>
    <row r="15">
      <c r="B15" s="131" t="n">
        <v>2001</v>
      </c>
      <c r="C15" s="134" t="n">
        <v>98</v>
      </c>
    </row>
    <row r="16">
      <c r="B16" s="131" t="n">
        <v>2002</v>
      </c>
      <c r="C16" s="134" t="n">
        <v>100</v>
      </c>
    </row>
    <row r="17">
      <c r="B17" s="131" t="n">
        <v>2003</v>
      </c>
      <c r="C17" s="134" t="n">
        <v>102.4</v>
      </c>
    </row>
    <row r="18">
      <c r="B18" s="131" t="n">
        <v>2004</v>
      </c>
      <c r="C18" s="134" t="n">
        <v>104.4</v>
      </c>
    </row>
    <row r="19">
      <c r="B19" s="131" t="n">
        <v>2005</v>
      </c>
      <c r="C19" s="134" t="n">
        <v>106.7</v>
      </c>
    </row>
    <row r="20">
      <c r="B20" s="131" t="n">
        <v>2006</v>
      </c>
      <c r="C20" s="134" t="n">
        <v>108.6</v>
      </c>
    </row>
    <row r="21">
      <c r="B21" s="131" t="n">
        <v>2007</v>
      </c>
      <c r="C21" s="134" t="n">
        <v>110.3</v>
      </c>
    </row>
    <row r="22">
      <c r="B22" s="131" t="n">
        <v>2008</v>
      </c>
      <c r="C22" s="134" t="n">
        <v>112.6</v>
      </c>
    </row>
    <row r="23">
      <c r="B23" s="131" t="n">
        <v>2009</v>
      </c>
      <c r="C23" s="134" t="n">
        <v>113.5</v>
      </c>
    </row>
    <row r="24">
      <c r="B24" s="131" t="n">
        <v>2010</v>
      </c>
      <c r="C24" s="134" t="n">
        <v>114.8</v>
      </c>
    </row>
    <row r="25">
      <c r="B25" s="131" t="n">
        <v>2011</v>
      </c>
      <c r="C25" s="134" t="n">
        <v>118</v>
      </c>
    </row>
    <row r="26">
      <c r="B26" s="131" t="n">
        <v>2012</v>
      </c>
      <c r="C26" s="134" t="n">
        <v>120.4</v>
      </c>
    </row>
    <row r="27">
      <c r="B27" s="131" t="n">
        <v>2013</v>
      </c>
      <c r="C27" s="134" t="n">
        <v>121.4</v>
      </c>
    </row>
    <row r="28">
      <c r="B28" s="131" t="n">
        <v>2014</v>
      </c>
      <c r="C28" s="134" t="n">
        <v>123.2</v>
      </c>
    </row>
    <row r="29">
      <c r="B29" s="131" t="n">
        <v>2015</v>
      </c>
      <c r="C29" s="134" t="n">
        <v>124.9</v>
      </c>
    </row>
    <row r="30">
      <c r="B30" s="131" t="n">
        <v>2016</v>
      </c>
      <c r="C30" s="134" t="n">
        <v>125.9</v>
      </c>
    </row>
    <row r="31">
      <c r="B31" s="131" t="n">
        <v>2017</v>
      </c>
      <c r="C31" s="134" t="n">
        <v>127.3</v>
      </c>
    </row>
    <row r="32">
      <c r="B32" s="131" t="n">
        <v>2018</v>
      </c>
      <c r="C32" s="134" t="n">
        <v>129.5</v>
      </c>
    </row>
    <row r="33">
      <c r="B33" s="131" t="n">
        <v>2019</v>
      </c>
      <c r="C33" s="134" t="n">
        <v>132.4</v>
      </c>
    </row>
    <row r="34">
      <c r="B34" s="131" t="n">
        <v>2020</v>
      </c>
      <c r="C34" s="134" t="n">
        <v>133.7</v>
      </c>
    </row>
    <row r="35">
      <c r="B35" s="131" t="n">
        <v>2021</v>
      </c>
      <c r="C35" s="134" t="n">
        <v>138.7</v>
      </c>
    </row>
    <row r="36">
      <c r="B36" s="131" t="n">
        <v>2022</v>
      </c>
      <c r="C36" s="134" t="n">
        <v>147.9</v>
      </c>
    </row>
    <row r="37">
      <c r="B37" s="131" t="n">
        <v>2023</v>
      </c>
      <c r="C37" s="134" t="n">
        <v>155.5</v>
      </c>
    </row>
    <row r="38">
      <c r="B38" s="131" t="n">
        <v>2024</v>
      </c>
      <c r="C38" s="134" t="n">
        <v>159.7</v>
      </c>
    </row>
    <row r="39">
      <c r="B39" s="131" t="n">
        <v>2025</v>
      </c>
      <c r="C39" s="134" t="n">
        <v>163.9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2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F82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8" customWidth="1" min="2" max="2"/>
    <col width="7" customWidth="1" min="3" max="3"/>
    <col width="26" customWidth="1" min="4" max="4"/>
    <col width="13" customWidth="1" min="5" max="5"/>
    <col width="14" customWidth="1" min="6" max="6"/>
  </cols>
  <sheetData>
    <row r="1" ht="34" customHeight="1">
      <c r="A1" s="1" t="n"/>
      <c r="B1" s="30" t="inlineStr">
        <is>
          <t>IPC provinces</t>
        </is>
      </c>
      <c r="C1" s="1" t="n"/>
      <c r="D1" s="1" t="n"/>
      <c r="E1" s="1" t="n"/>
      <c r="F1" s="31">
        <f>HYPERLINK("#'Accueil'!A1","← Accueil")</f>
        <v/>
      </c>
    </row>
    <row r="2" ht="20" customHeight="1">
      <c r="A2" s="1" t="n"/>
      <c r="B2" s="3" t="inlineStr">
        <is>
          <t>Statistique Canada 18-10-0005-01 · 2002 = 100 · le loyer suit les mêmes logements d'une année à l'autre</t>
        </is>
      </c>
      <c r="C2" s="1" t="n"/>
      <c r="D2" s="1" t="n"/>
      <c r="E2" s="1" t="n"/>
      <c r="F2" s="1" t="n"/>
    </row>
    <row r="3" ht="5" customHeight="1">
      <c r="A3" s="4" t="n"/>
      <c r="B3" s="4" t="n"/>
      <c r="C3" s="4" t="n"/>
      <c r="D3" s="5" t="n"/>
      <c r="E3" s="5" t="n"/>
      <c r="F3" s="5" t="n"/>
    </row>
    <row r="5" ht="30" customHeight="1">
      <c r="B5" s="46" t="inlineStr">
        <is>
          <t>Année</t>
        </is>
      </c>
      <c r="C5" s="46" t="inlineStr">
        <is>
          <t>Code</t>
        </is>
      </c>
      <c r="D5" s="46" t="inlineStr">
        <is>
          <t>Province</t>
        </is>
      </c>
      <c r="E5" s="46" t="inlineStr">
        <is>
          <t>IPC du loyer</t>
        </is>
      </c>
      <c r="F5" s="46" t="inlineStr">
        <is>
          <t>IPC d'ensemble</t>
        </is>
      </c>
    </row>
    <row r="6">
      <c r="B6" s="131" t="n">
        <v>2019</v>
      </c>
      <c r="C6" s="132" t="inlineStr">
        <is>
          <t>AB</t>
        </is>
      </c>
      <c r="D6" s="132" t="inlineStr">
        <is>
          <t>Alberta</t>
        </is>
      </c>
      <c r="E6" s="134" t="n">
        <v>132.7</v>
      </c>
      <c r="F6" s="134" t="n">
        <v>143.1</v>
      </c>
    </row>
    <row r="7">
      <c r="B7" s="131" t="n">
        <v>2020</v>
      </c>
      <c r="C7" s="132" t="inlineStr">
        <is>
          <t>AB</t>
        </is>
      </c>
      <c r="D7" s="132" t="inlineStr">
        <is>
          <t>Alberta</t>
        </is>
      </c>
      <c r="E7" s="134" t="n">
        <v>134.2</v>
      </c>
      <c r="F7" s="134" t="n">
        <v>144.7</v>
      </c>
    </row>
    <row r="8">
      <c r="B8" s="131" t="n">
        <v>2021</v>
      </c>
      <c r="C8" s="132" t="inlineStr">
        <is>
          <t>AB</t>
        </is>
      </c>
      <c r="D8" s="132" t="inlineStr">
        <is>
          <t>Alberta</t>
        </is>
      </c>
      <c r="E8" s="134" t="n">
        <v>134.8</v>
      </c>
      <c r="F8" s="134" t="n">
        <v>149.3</v>
      </c>
    </row>
    <row r="9">
      <c r="B9" s="131" t="n">
        <v>2022</v>
      </c>
      <c r="C9" s="132" t="inlineStr">
        <is>
          <t>AB</t>
        </is>
      </c>
      <c r="D9" s="132" t="inlineStr">
        <is>
          <t>Alberta</t>
        </is>
      </c>
      <c r="E9" s="134" t="n">
        <v>137.6</v>
      </c>
      <c r="F9" s="134" t="n">
        <v>158.9</v>
      </c>
    </row>
    <row r="10">
      <c r="B10" s="131" t="n">
        <v>2023</v>
      </c>
      <c r="C10" s="132" t="inlineStr">
        <is>
          <t>AB</t>
        </is>
      </c>
      <c r="D10" s="132" t="inlineStr">
        <is>
          <t>Alberta</t>
        </is>
      </c>
      <c r="E10" s="134" t="n">
        <v>145.6</v>
      </c>
      <c r="F10" s="134" t="n">
        <v>164.1</v>
      </c>
    </row>
    <row r="11">
      <c r="B11" s="131" t="n">
        <v>2024</v>
      </c>
      <c r="C11" s="132" t="inlineStr">
        <is>
          <t>AB</t>
        </is>
      </c>
      <c r="D11" s="132" t="inlineStr">
        <is>
          <t>Alberta</t>
        </is>
      </c>
      <c r="E11" s="134" t="n">
        <v>163.8</v>
      </c>
      <c r="F11" s="134" t="n">
        <v>168.9</v>
      </c>
    </row>
    <row r="12">
      <c r="B12" s="131" t="n">
        <v>2025</v>
      </c>
      <c r="C12" s="132" t="inlineStr">
        <is>
          <t>AB</t>
        </is>
      </c>
      <c r="D12" s="132" t="inlineStr">
        <is>
          <t>Alberta</t>
        </is>
      </c>
      <c r="E12" s="134" t="n">
        <v>170</v>
      </c>
      <c r="F12" s="134" t="n">
        <v>172.2</v>
      </c>
    </row>
    <row r="13">
      <c r="B13" s="131" t="n">
        <v>2019</v>
      </c>
      <c r="C13" s="132" t="inlineStr">
        <is>
          <t>BC</t>
        </is>
      </c>
      <c r="D13" s="132" t="inlineStr">
        <is>
          <t>Colombie-Britannique</t>
        </is>
      </c>
      <c r="E13" s="134" t="n">
        <v>124.8</v>
      </c>
      <c r="F13" s="134" t="n">
        <v>131.4</v>
      </c>
    </row>
    <row r="14">
      <c r="B14" s="131" t="n">
        <v>2020</v>
      </c>
      <c r="C14" s="132" t="inlineStr">
        <is>
          <t>BC</t>
        </is>
      </c>
      <c r="D14" s="132" t="inlineStr">
        <is>
          <t>Colombie-Britannique</t>
        </is>
      </c>
      <c r="E14" s="134" t="n">
        <v>127.9</v>
      </c>
      <c r="F14" s="134" t="n">
        <v>132.4</v>
      </c>
    </row>
    <row r="15">
      <c r="B15" s="131" t="n">
        <v>2021</v>
      </c>
      <c r="C15" s="132" t="inlineStr">
        <is>
          <t>BC</t>
        </is>
      </c>
      <c r="D15" s="132" t="inlineStr">
        <is>
          <t>Colombie-Britannique</t>
        </is>
      </c>
      <c r="E15" s="134" t="n">
        <v>128.5</v>
      </c>
      <c r="F15" s="134" t="n">
        <v>136.1</v>
      </c>
    </row>
    <row r="16">
      <c r="B16" s="131" t="n">
        <v>2022</v>
      </c>
      <c r="C16" s="132" t="inlineStr">
        <is>
          <t>BC</t>
        </is>
      </c>
      <c r="D16" s="132" t="inlineStr">
        <is>
          <t>Colombie-Britannique</t>
        </is>
      </c>
      <c r="E16" s="134" t="n">
        <v>135.9</v>
      </c>
      <c r="F16" s="134" t="n">
        <v>145.5</v>
      </c>
    </row>
    <row r="17">
      <c r="B17" s="131" t="n">
        <v>2023</v>
      </c>
      <c r="C17" s="132" t="inlineStr">
        <is>
          <t>BC</t>
        </is>
      </c>
      <c r="D17" s="132" t="inlineStr">
        <is>
          <t>Colombie-Britannique</t>
        </is>
      </c>
      <c r="E17" s="134" t="n">
        <v>146</v>
      </c>
      <c r="F17" s="134" t="n">
        <v>151.2</v>
      </c>
    </row>
    <row r="18">
      <c r="B18" s="131" t="n">
        <v>2024</v>
      </c>
      <c r="C18" s="132" t="inlineStr">
        <is>
          <t>BC</t>
        </is>
      </c>
      <c r="D18" s="132" t="inlineStr">
        <is>
          <t>Colombie-Britannique</t>
        </is>
      </c>
      <c r="E18" s="134" t="n">
        <v>157.2</v>
      </c>
      <c r="F18" s="134" t="n">
        <v>155.2</v>
      </c>
    </row>
    <row r="19">
      <c r="B19" s="131" t="n">
        <v>2025</v>
      </c>
      <c r="C19" s="132" t="inlineStr">
        <is>
          <t>BC</t>
        </is>
      </c>
      <c r="D19" s="132" t="inlineStr">
        <is>
          <t>Colombie-Britannique</t>
        </is>
      </c>
      <c r="E19" s="134" t="n">
        <v>162.7</v>
      </c>
      <c r="F19" s="134" t="n">
        <v>158.5</v>
      </c>
    </row>
    <row r="20">
      <c r="B20" s="131" t="n">
        <v>2019</v>
      </c>
      <c r="C20" s="132" t="inlineStr">
        <is>
          <t>CA</t>
        </is>
      </c>
      <c r="D20" s="132" t="inlineStr">
        <is>
          <t>Canada</t>
        </is>
      </c>
      <c r="E20" s="134" t="n">
        <v>124.7</v>
      </c>
      <c r="F20" s="134" t="n">
        <v>136</v>
      </c>
    </row>
    <row r="21">
      <c r="B21" s="131" t="n">
        <v>2020</v>
      </c>
      <c r="C21" s="132" t="inlineStr">
        <is>
          <t>CA</t>
        </is>
      </c>
      <c r="D21" s="132" t="inlineStr">
        <is>
          <t>Canada</t>
        </is>
      </c>
      <c r="E21" s="134" t="n">
        <v>126.8</v>
      </c>
      <c r="F21" s="134" t="n">
        <v>137</v>
      </c>
    </row>
    <row r="22">
      <c r="B22" s="131" t="n">
        <v>2021</v>
      </c>
      <c r="C22" s="132" t="inlineStr">
        <is>
          <t>CA</t>
        </is>
      </c>
      <c r="D22" s="132" t="inlineStr">
        <is>
          <t>Canada</t>
        </is>
      </c>
      <c r="E22" s="134" t="n">
        <v>128.8</v>
      </c>
      <c r="F22" s="134" t="n">
        <v>141.6</v>
      </c>
    </row>
    <row r="23">
      <c r="B23" s="131" t="n">
        <v>2022</v>
      </c>
      <c r="C23" s="132" t="inlineStr">
        <is>
          <t>CA</t>
        </is>
      </c>
      <c r="D23" s="132" t="inlineStr">
        <is>
          <t>Canada</t>
        </is>
      </c>
      <c r="E23" s="134" t="n">
        <v>134.7</v>
      </c>
      <c r="F23" s="134" t="n">
        <v>151.2</v>
      </c>
    </row>
    <row r="24">
      <c r="B24" s="131" t="n">
        <v>2023</v>
      </c>
      <c r="C24" s="132" t="inlineStr">
        <is>
          <t>CA</t>
        </is>
      </c>
      <c r="D24" s="132" t="inlineStr">
        <is>
          <t>Canada</t>
        </is>
      </c>
      <c r="E24" s="134" t="n">
        <v>143.4</v>
      </c>
      <c r="F24" s="134" t="n">
        <v>157.1</v>
      </c>
    </row>
    <row r="25">
      <c r="B25" s="131" t="n">
        <v>2024</v>
      </c>
      <c r="C25" s="132" t="inlineStr">
        <is>
          <t>CA</t>
        </is>
      </c>
      <c r="D25" s="132" t="inlineStr">
        <is>
          <t>Canada</t>
        </is>
      </c>
      <c r="E25" s="134" t="n">
        <v>155.1</v>
      </c>
      <c r="F25" s="134" t="n">
        <v>160.9</v>
      </c>
    </row>
    <row r="26">
      <c r="B26" s="131" t="n">
        <v>2025</v>
      </c>
      <c r="C26" s="132" t="inlineStr">
        <is>
          <t>CA</t>
        </is>
      </c>
      <c r="D26" s="132" t="inlineStr">
        <is>
          <t>Canada</t>
        </is>
      </c>
      <c r="E26" s="134" t="n">
        <v>162.9</v>
      </c>
      <c r="F26" s="134" t="n">
        <v>164.2</v>
      </c>
    </row>
    <row r="27">
      <c r="B27" s="131" t="n">
        <v>2019</v>
      </c>
      <c r="C27" s="132" t="inlineStr">
        <is>
          <t>MB</t>
        </is>
      </c>
      <c r="D27" s="132" t="inlineStr">
        <is>
          <t>Manitoba</t>
        </is>
      </c>
      <c r="E27" s="134" t="n">
        <v>132.6</v>
      </c>
      <c r="F27" s="134" t="n">
        <v>136.8</v>
      </c>
    </row>
    <row r="28">
      <c r="B28" s="131" t="n">
        <v>2020</v>
      </c>
      <c r="C28" s="132" t="inlineStr">
        <is>
          <t>MB</t>
        </is>
      </c>
      <c r="D28" s="132" t="inlineStr">
        <is>
          <t>Manitoba</t>
        </is>
      </c>
      <c r="E28" s="134" t="n">
        <v>135.9</v>
      </c>
      <c r="F28" s="134" t="n">
        <v>137.5</v>
      </c>
    </row>
    <row r="29">
      <c r="B29" s="131" t="n">
        <v>2021</v>
      </c>
      <c r="C29" s="132" t="inlineStr">
        <is>
          <t>MB</t>
        </is>
      </c>
      <c r="D29" s="132" t="inlineStr">
        <is>
          <t>Manitoba</t>
        </is>
      </c>
      <c r="E29" s="134" t="n">
        <v>140.1</v>
      </c>
      <c r="F29" s="134" t="n">
        <v>142</v>
      </c>
    </row>
    <row r="30">
      <c r="B30" s="131" t="n">
        <v>2022</v>
      </c>
      <c r="C30" s="132" t="inlineStr">
        <is>
          <t>MB</t>
        </is>
      </c>
      <c r="D30" s="132" t="inlineStr">
        <is>
          <t>Manitoba</t>
        </is>
      </c>
      <c r="E30" s="134" t="n">
        <v>143.7</v>
      </c>
      <c r="F30" s="134" t="n">
        <v>153.2</v>
      </c>
    </row>
    <row r="31">
      <c r="B31" s="131" t="n">
        <v>2023</v>
      </c>
      <c r="C31" s="132" t="inlineStr">
        <is>
          <t>MB</t>
        </is>
      </c>
      <c r="D31" s="132" t="inlineStr">
        <is>
          <t>Manitoba</t>
        </is>
      </c>
      <c r="E31" s="134" t="n">
        <v>152.5</v>
      </c>
      <c r="F31" s="134" t="n">
        <v>158.6</v>
      </c>
    </row>
    <row r="32">
      <c r="B32" s="131" t="n">
        <v>2024</v>
      </c>
      <c r="C32" s="132" t="inlineStr">
        <is>
          <t>MB</t>
        </is>
      </c>
      <c r="D32" s="132" t="inlineStr">
        <is>
          <t>Manitoba</t>
        </is>
      </c>
      <c r="E32" s="134" t="n">
        <v>162.8</v>
      </c>
      <c r="F32" s="134" t="n">
        <v>160.3</v>
      </c>
    </row>
    <row r="33">
      <c r="B33" s="131" t="n">
        <v>2025</v>
      </c>
      <c r="C33" s="132" t="inlineStr">
        <is>
          <t>MB</t>
        </is>
      </c>
      <c r="D33" s="132" t="inlineStr">
        <is>
          <t>Manitoba</t>
        </is>
      </c>
      <c r="E33" s="134" t="n">
        <v>169.9</v>
      </c>
      <c r="F33" s="134" t="n">
        <v>164.6</v>
      </c>
    </row>
    <row r="34">
      <c r="B34" s="131" t="n">
        <v>2019</v>
      </c>
      <c r="C34" s="132" t="inlineStr">
        <is>
          <t>NB</t>
        </is>
      </c>
      <c r="D34" s="132" t="inlineStr">
        <is>
          <t>Nouveau-Brunswick</t>
        </is>
      </c>
      <c r="E34" s="134" t="n">
        <v>117.9</v>
      </c>
      <c r="F34" s="134" t="n">
        <v>136.3</v>
      </c>
    </row>
    <row r="35">
      <c r="B35" s="131" t="n">
        <v>2020</v>
      </c>
      <c r="C35" s="132" t="inlineStr">
        <is>
          <t>NB</t>
        </is>
      </c>
      <c r="D35" s="132" t="inlineStr">
        <is>
          <t>Nouveau-Brunswick</t>
        </is>
      </c>
      <c r="E35" s="134" t="n">
        <v>120.1</v>
      </c>
      <c r="F35" s="134" t="n">
        <v>136.6</v>
      </c>
    </row>
    <row r="36">
      <c r="B36" s="131" t="n">
        <v>2021</v>
      </c>
      <c r="C36" s="132" t="inlineStr">
        <is>
          <t>NB</t>
        </is>
      </c>
      <c r="D36" s="132" t="inlineStr">
        <is>
          <t>Nouveau-Brunswick</t>
        </is>
      </c>
      <c r="E36" s="134" t="n">
        <v>128.7</v>
      </c>
      <c r="F36" s="134" t="n">
        <v>141.8</v>
      </c>
    </row>
    <row r="37">
      <c r="B37" s="131" t="n">
        <v>2022</v>
      </c>
      <c r="C37" s="132" t="inlineStr">
        <is>
          <t>NB</t>
        </is>
      </c>
      <c r="D37" s="132" t="inlineStr">
        <is>
          <t>Nouveau-Brunswick</t>
        </is>
      </c>
      <c r="E37" s="134" t="n">
        <v>136.1</v>
      </c>
      <c r="F37" s="134" t="n">
        <v>152.1</v>
      </c>
    </row>
    <row r="38">
      <c r="B38" s="131" t="n">
        <v>2023</v>
      </c>
      <c r="C38" s="132" t="inlineStr">
        <is>
          <t>NB</t>
        </is>
      </c>
      <c r="D38" s="132" t="inlineStr">
        <is>
          <t>Nouveau-Brunswick</t>
        </is>
      </c>
      <c r="E38" s="134" t="n">
        <v>146.1</v>
      </c>
      <c r="F38" s="134" t="n">
        <v>157.5</v>
      </c>
    </row>
    <row r="39">
      <c r="B39" s="131" t="n">
        <v>2024</v>
      </c>
      <c r="C39" s="132" t="inlineStr">
        <is>
          <t>NB</t>
        </is>
      </c>
      <c r="D39" s="132" t="inlineStr">
        <is>
          <t>Nouveau-Brunswick</t>
        </is>
      </c>
      <c r="E39" s="134" t="n">
        <v>161.8</v>
      </c>
      <c r="F39" s="134" t="n">
        <v>161</v>
      </c>
    </row>
    <row r="40">
      <c r="B40" s="131" t="n">
        <v>2025</v>
      </c>
      <c r="C40" s="132" t="inlineStr">
        <is>
          <t>NB</t>
        </is>
      </c>
      <c r="D40" s="132" t="inlineStr">
        <is>
          <t>Nouveau-Brunswick</t>
        </is>
      </c>
      <c r="E40" s="134" t="n">
        <v>172.7</v>
      </c>
      <c r="F40" s="134" t="n">
        <v>163.7</v>
      </c>
    </row>
    <row r="41">
      <c r="B41" s="131" t="n">
        <v>2019</v>
      </c>
      <c r="C41" s="132" t="inlineStr">
        <is>
          <t>NL</t>
        </is>
      </c>
      <c r="D41" s="132" t="inlineStr">
        <is>
          <t>Terre-Neuve-et-Labrador</t>
        </is>
      </c>
      <c r="E41" s="134" t="n">
        <v>124.1</v>
      </c>
      <c r="F41" s="134" t="n">
        <v>139.3</v>
      </c>
    </row>
    <row r="42">
      <c r="B42" s="131" t="n">
        <v>2020</v>
      </c>
      <c r="C42" s="132" t="inlineStr">
        <is>
          <t>NL</t>
        </is>
      </c>
      <c r="D42" s="132" t="inlineStr">
        <is>
          <t>Terre-Neuve-et-Labrador</t>
        </is>
      </c>
      <c r="E42" s="134" t="n">
        <v>130.6</v>
      </c>
      <c r="F42" s="134" t="n">
        <v>139.6</v>
      </c>
    </row>
    <row r="43">
      <c r="B43" s="131" t="n">
        <v>2021</v>
      </c>
      <c r="C43" s="132" t="inlineStr">
        <is>
          <t>NL</t>
        </is>
      </c>
      <c r="D43" s="132" t="inlineStr">
        <is>
          <t>Terre-Neuve-et-Labrador</t>
        </is>
      </c>
      <c r="E43" s="134" t="n">
        <v>132.6</v>
      </c>
      <c r="F43" s="134" t="n">
        <v>144.7</v>
      </c>
    </row>
    <row r="44">
      <c r="B44" s="131" t="n">
        <v>2022</v>
      </c>
      <c r="C44" s="132" t="inlineStr">
        <is>
          <t>NL</t>
        </is>
      </c>
      <c r="D44" s="132" t="inlineStr">
        <is>
          <t>Terre-Neuve-et-Labrador</t>
        </is>
      </c>
      <c r="E44" s="134" t="n">
        <v>135.6</v>
      </c>
      <c r="F44" s="134" t="n">
        <v>153.9</v>
      </c>
    </row>
    <row r="45">
      <c r="B45" s="131" t="n">
        <v>2023</v>
      </c>
      <c r="C45" s="132" t="inlineStr">
        <is>
          <t>NL</t>
        </is>
      </c>
      <c r="D45" s="132" t="inlineStr">
        <is>
          <t>Terre-Neuve-et-Labrador</t>
        </is>
      </c>
      <c r="E45" s="134" t="n">
        <v>145</v>
      </c>
      <c r="F45" s="134" t="n">
        <v>159</v>
      </c>
    </row>
    <row r="46">
      <c r="B46" s="131" t="n">
        <v>2024</v>
      </c>
      <c r="C46" s="132" t="inlineStr">
        <is>
          <t>NL</t>
        </is>
      </c>
      <c r="D46" s="132" t="inlineStr">
        <is>
          <t>Terre-Neuve-et-Labrador</t>
        </is>
      </c>
      <c r="E46" s="134" t="n">
        <v>157</v>
      </c>
      <c r="F46" s="134" t="n">
        <v>161.9</v>
      </c>
    </row>
    <row r="47">
      <c r="B47" s="131" t="n">
        <v>2025</v>
      </c>
      <c r="C47" s="132" t="inlineStr">
        <is>
          <t>NL</t>
        </is>
      </c>
      <c r="D47" s="132" t="inlineStr">
        <is>
          <t>Terre-Neuve-et-Labrador</t>
        </is>
      </c>
      <c r="E47" s="134" t="n">
        <v>164</v>
      </c>
      <c r="F47" s="134" t="n">
        <v>164.2</v>
      </c>
    </row>
    <row r="48">
      <c r="B48" s="131" t="n">
        <v>2019</v>
      </c>
      <c r="C48" s="132" t="inlineStr">
        <is>
          <t>NS</t>
        </is>
      </c>
      <c r="D48" s="132" t="inlineStr">
        <is>
          <t>Nouvelle-Écosse</t>
        </is>
      </c>
      <c r="E48" s="134" t="n">
        <v>117.9</v>
      </c>
      <c r="F48" s="134" t="n">
        <v>137.5</v>
      </c>
    </row>
    <row r="49">
      <c r="B49" s="131" t="n">
        <v>2020</v>
      </c>
      <c r="C49" s="132" t="inlineStr">
        <is>
          <t>NS</t>
        </is>
      </c>
      <c r="D49" s="132" t="inlineStr">
        <is>
          <t>Nouvelle-Écosse</t>
        </is>
      </c>
      <c r="E49" s="134" t="n">
        <v>120.7</v>
      </c>
      <c r="F49" s="134" t="n">
        <v>137.9</v>
      </c>
    </row>
    <row r="50">
      <c r="B50" s="131" t="n">
        <v>2021</v>
      </c>
      <c r="C50" s="132" t="inlineStr">
        <is>
          <t>NS</t>
        </is>
      </c>
      <c r="D50" s="132" t="inlineStr">
        <is>
          <t>Nouvelle-Écosse</t>
        </is>
      </c>
      <c r="E50" s="134" t="n">
        <v>125.8</v>
      </c>
      <c r="F50" s="134" t="n">
        <v>143.5</v>
      </c>
    </row>
    <row r="51">
      <c r="B51" s="131" t="n">
        <v>2022</v>
      </c>
      <c r="C51" s="132" t="inlineStr">
        <is>
          <t>NS</t>
        </is>
      </c>
      <c r="D51" s="132" t="inlineStr">
        <is>
          <t>Nouvelle-Écosse</t>
        </is>
      </c>
      <c r="E51" s="134" t="n">
        <v>132.3</v>
      </c>
      <c r="F51" s="134" t="n">
        <v>154.3</v>
      </c>
    </row>
    <row r="52">
      <c r="B52" s="131" t="n">
        <v>2023</v>
      </c>
      <c r="C52" s="132" t="inlineStr">
        <is>
          <t>NS</t>
        </is>
      </c>
      <c r="D52" s="132" t="inlineStr">
        <is>
          <t>Nouvelle-Écosse</t>
        </is>
      </c>
      <c r="E52" s="134" t="n">
        <v>145.6</v>
      </c>
      <c r="F52" s="134" t="n">
        <v>160.5</v>
      </c>
    </row>
    <row r="53">
      <c r="B53" s="131" t="n">
        <v>2024</v>
      </c>
      <c r="C53" s="132" t="inlineStr">
        <is>
          <t>NS</t>
        </is>
      </c>
      <c r="D53" s="132" t="inlineStr">
        <is>
          <t>Nouvelle-Écosse</t>
        </is>
      </c>
      <c r="E53" s="134" t="n">
        <v>157.1</v>
      </c>
      <c r="F53" s="134" t="n">
        <v>164.2</v>
      </c>
    </row>
    <row r="54">
      <c r="B54" s="131" t="n">
        <v>2025</v>
      </c>
      <c r="C54" s="132" t="inlineStr">
        <is>
          <t>NS</t>
        </is>
      </c>
      <c r="D54" s="132" t="inlineStr">
        <is>
          <t>Nouvelle-Écosse</t>
        </is>
      </c>
      <c r="E54" s="134" t="n">
        <v>168.4</v>
      </c>
      <c r="F54" s="134" t="n">
        <v>167.6</v>
      </c>
    </row>
    <row r="55">
      <c r="B55" s="131" t="n">
        <v>2019</v>
      </c>
      <c r="C55" s="132" t="inlineStr">
        <is>
          <t>ON</t>
        </is>
      </c>
      <c r="D55" s="132" t="inlineStr">
        <is>
          <t>Ontario</t>
        </is>
      </c>
      <c r="E55" s="134" t="n">
        <v>124.6</v>
      </c>
      <c r="F55" s="134" t="n">
        <v>137.5</v>
      </c>
    </row>
    <row r="56">
      <c r="B56" s="131" t="n">
        <v>2020</v>
      </c>
      <c r="C56" s="132" t="inlineStr">
        <is>
          <t>ON</t>
        </is>
      </c>
      <c r="D56" s="132" t="inlineStr">
        <is>
          <t>Ontario</t>
        </is>
      </c>
      <c r="E56" s="134" t="n">
        <v>126.7</v>
      </c>
      <c r="F56" s="134" t="n">
        <v>138.4</v>
      </c>
    </row>
    <row r="57">
      <c r="B57" s="131" t="n">
        <v>2021</v>
      </c>
      <c r="C57" s="132" t="inlineStr">
        <is>
          <t>ON</t>
        </is>
      </c>
      <c r="D57" s="132" t="inlineStr">
        <is>
          <t>Ontario</t>
        </is>
      </c>
      <c r="E57" s="134" t="n">
        <v>128.6</v>
      </c>
      <c r="F57" s="134" t="n">
        <v>143.2</v>
      </c>
    </row>
    <row r="58">
      <c r="B58" s="131" t="n">
        <v>2022</v>
      </c>
      <c r="C58" s="132" t="inlineStr">
        <is>
          <t>ON</t>
        </is>
      </c>
      <c r="D58" s="132" t="inlineStr">
        <is>
          <t>Ontario</t>
        </is>
      </c>
      <c r="E58" s="134" t="n">
        <v>135.7</v>
      </c>
      <c r="F58" s="134" t="n">
        <v>152.9</v>
      </c>
    </row>
    <row r="59">
      <c r="B59" s="131" t="n">
        <v>2023</v>
      </c>
      <c r="C59" s="132" t="inlineStr">
        <is>
          <t>ON</t>
        </is>
      </c>
      <c r="D59" s="132" t="inlineStr">
        <is>
          <t>Ontario</t>
        </is>
      </c>
      <c r="E59" s="134" t="n">
        <v>144.2</v>
      </c>
      <c r="F59" s="134" t="n">
        <v>158.7</v>
      </c>
    </row>
    <row r="60">
      <c r="B60" s="131" t="n">
        <v>2024</v>
      </c>
      <c r="C60" s="132" t="inlineStr">
        <is>
          <t>ON</t>
        </is>
      </c>
      <c r="D60" s="132" t="inlineStr">
        <is>
          <t>Ontario</t>
        </is>
      </c>
      <c r="E60" s="134" t="n">
        <v>154.2</v>
      </c>
      <c r="F60" s="134" t="n">
        <v>162.5</v>
      </c>
    </row>
    <row r="61">
      <c r="B61" s="131" t="n">
        <v>2025</v>
      </c>
      <c r="C61" s="132" t="inlineStr">
        <is>
          <t>ON</t>
        </is>
      </c>
      <c r="D61" s="132" t="inlineStr">
        <is>
          <t>Ontario</t>
        </is>
      </c>
      <c r="E61" s="134" t="n">
        <v>160.8</v>
      </c>
      <c r="F61" s="134" t="n">
        <v>165.6</v>
      </c>
    </row>
    <row r="62">
      <c r="B62" s="131" t="n">
        <v>2019</v>
      </c>
      <c r="C62" s="132" t="inlineStr">
        <is>
          <t>PE</t>
        </is>
      </c>
      <c r="D62" s="132" t="inlineStr">
        <is>
          <t>Île-du-Prince-Édouard</t>
        </is>
      </c>
      <c r="E62" s="134" t="n">
        <v>120.4</v>
      </c>
      <c r="F62" s="134" t="n">
        <v>137.9</v>
      </c>
    </row>
    <row r="63">
      <c r="B63" s="131" t="n">
        <v>2020</v>
      </c>
      <c r="C63" s="132" t="inlineStr">
        <is>
          <t>PE</t>
        </is>
      </c>
      <c r="D63" s="132" t="inlineStr">
        <is>
          <t>Île-du-Prince-Édouard</t>
        </is>
      </c>
      <c r="E63" s="134" t="n">
        <v>126.9</v>
      </c>
      <c r="F63" s="134" t="n">
        <v>137.9</v>
      </c>
    </row>
    <row r="64">
      <c r="B64" s="131" t="n">
        <v>2021</v>
      </c>
      <c r="C64" s="132" t="inlineStr">
        <is>
          <t>PE</t>
        </is>
      </c>
      <c r="D64" s="132" t="inlineStr">
        <is>
          <t>Île-du-Prince-Édouard</t>
        </is>
      </c>
      <c r="E64" s="134" t="n">
        <v>135</v>
      </c>
      <c r="F64" s="134" t="n">
        <v>144.9</v>
      </c>
    </row>
    <row r="65">
      <c r="B65" s="131" t="n">
        <v>2022</v>
      </c>
      <c r="C65" s="132" t="inlineStr">
        <is>
          <t>PE</t>
        </is>
      </c>
      <c r="D65" s="132" t="inlineStr">
        <is>
          <t>Île-du-Prince-Édouard</t>
        </is>
      </c>
      <c r="E65" s="134" t="n">
        <v>150.3</v>
      </c>
      <c r="F65" s="134" t="n">
        <v>157.8</v>
      </c>
    </row>
    <row r="66">
      <c r="B66" s="131" t="n">
        <v>2023</v>
      </c>
      <c r="C66" s="132" t="inlineStr">
        <is>
          <t>PE</t>
        </is>
      </c>
      <c r="D66" s="132" t="inlineStr">
        <is>
          <t>Île-du-Prince-Édouard</t>
        </is>
      </c>
      <c r="E66" s="134" t="n">
        <v>155.7</v>
      </c>
      <c r="F66" s="134" t="n">
        <v>162.3</v>
      </c>
    </row>
    <row r="67">
      <c r="B67" s="131" t="n">
        <v>2024</v>
      </c>
      <c r="C67" s="132" t="inlineStr">
        <is>
          <t>PE</t>
        </is>
      </c>
      <c r="D67" s="132" t="inlineStr">
        <is>
          <t>Île-du-Prince-Édouard</t>
        </is>
      </c>
      <c r="E67" s="134" t="n">
        <v>163.9</v>
      </c>
      <c r="F67" s="134" t="n">
        <v>165.3</v>
      </c>
    </row>
    <row r="68">
      <c r="B68" s="131" t="n">
        <v>2025</v>
      </c>
      <c r="C68" s="132" t="inlineStr">
        <is>
          <t>PE</t>
        </is>
      </c>
      <c r="D68" s="132" t="inlineStr">
        <is>
          <t>Île-du-Prince-Édouard</t>
        </is>
      </c>
      <c r="E68" s="134" t="n">
        <v>169.4</v>
      </c>
      <c r="F68" s="134" t="n">
        <v>167.6</v>
      </c>
    </row>
    <row r="69">
      <c r="B69" s="131" t="n">
        <v>2019</v>
      </c>
      <c r="C69" s="132" t="inlineStr">
        <is>
          <t>QC</t>
        </is>
      </c>
      <c r="D69" s="132" t="inlineStr">
        <is>
          <t>Québec</t>
        </is>
      </c>
      <c r="E69" s="134" t="n">
        <v>121.2</v>
      </c>
      <c r="F69" s="134" t="n">
        <v>131.7</v>
      </c>
    </row>
    <row r="70">
      <c r="B70" s="131" t="n">
        <v>2020</v>
      </c>
      <c r="C70" s="132" t="inlineStr">
        <is>
          <t>QC</t>
        </is>
      </c>
      <c r="D70" s="132" t="inlineStr">
        <is>
          <t>Québec</t>
        </is>
      </c>
      <c r="E70" s="134" t="n">
        <v>122.7</v>
      </c>
      <c r="F70" s="134" t="n">
        <v>132.8</v>
      </c>
    </row>
    <row r="71">
      <c r="B71" s="131" t="n">
        <v>2021</v>
      </c>
      <c r="C71" s="132" t="inlineStr">
        <is>
          <t>QC</t>
        </is>
      </c>
      <c r="D71" s="132" t="inlineStr">
        <is>
          <t>Québec</t>
        </is>
      </c>
      <c r="E71" s="134" t="n">
        <v>126</v>
      </c>
      <c r="F71" s="134" t="n">
        <v>137.8</v>
      </c>
    </row>
    <row r="72">
      <c r="B72" s="131" t="n">
        <v>2022</v>
      </c>
      <c r="C72" s="132" t="inlineStr">
        <is>
          <t>QC</t>
        </is>
      </c>
      <c r="D72" s="132" t="inlineStr">
        <is>
          <t>Québec</t>
        </is>
      </c>
      <c r="E72" s="134" t="n">
        <v>130.6</v>
      </c>
      <c r="F72" s="134" t="n">
        <v>147</v>
      </c>
    </row>
    <row r="73">
      <c r="B73" s="131" t="n">
        <v>2023</v>
      </c>
      <c r="C73" s="132" t="inlineStr">
        <is>
          <t>QC</t>
        </is>
      </c>
      <c r="D73" s="132" t="inlineStr">
        <is>
          <t>Québec</t>
        </is>
      </c>
      <c r="E73" s="134" t="n">
        <v>138.2</v>
      </c>
      <c r="F73" s="134" t="n">
        <v>153.6</v>
      </c>
    </row>
    <row r="74">
      <c r="B74" s="131" t="n">
        <v>2024</v>
      </c>
      <c r="C74" s="132" t="inlineStr">
        <is>
          <t>QC</t>
        </is>
      </c>
      <c r="D74" s="132" t="inlineStr">
        <is>
          <t>Québec</t>
        </is>
      </c>
      <c r="E74" s="134" t="n">
        <v>150.5</v>
      </c>
      <c r="F74" s="134" t="n">
        <v>157.2</v>
      </c>
    </row>
    <row r="75">
      <c r="B75" s="131" t="n">
        <v>2025</v>
      </c>
      <c r="C75" s="132" t="inlineStr">
        <is>
          <t>QC</t>
        </is>
      </c>
      <c r="D75" s="132" t="inlineStr">
        <is>
          <t>Québec</t>
        </is>
      </c>
      <c r="E75" s="134" t="n">
        <v>162.2</v>
      </c>
      <c r="F75" s="134" t="n">
        <v>161</v>
      </c>
    </row>
    <row r="76">
      <c r="B76" s="131" t="n">
        <v>2019</v>
      </c>
      <c r="C76" s="132" t="inlineStr">
        <is>
          <t>SK</t>
        </is>
      </c>
      <c r="D76" s="132" t="inlineStr">
        <is>
          <t>Saskatchewan</t>
        </is>
      </c>
      <c r="E76" s="134" t="n">
        <v>141.7</v>
      </c>
      <c r="F76" s="134" t="n">
        <v>139.9</v>
      </c>
    </row>
    <row r="77">
      <c r="B77" s="131" t="n">
        <v>2020</v>
      </c>
      <c r="C77" s="132" t="inlineStr">
        <is>
          <t>SK</t>
        </is>
      </c>
      <c r="D77" s="132" t="inlineStr">
        <is>
          <t>Saskatchewan</t>
        </is>
      </c>
      <c r="E77" s="134" t="n">
        <v>142.3</v>
      </c>
      <c r="F77" s="134" t="n">
        <v>140.7</v>
      </c>
    </row>
    <row r="78">
      <c r="B78" s="131" t="n">
        <v>2021</v>
      </c>
      <c r="C78" s="132" t="inlineStr">
        <is>
          <t>SK</t>
        </is>
      </c>
      <c r="D78" s="132" t="inlineStr">
        <is>
          <t>Saskatchewan</t>
        </is>
      </c>
      <c r="E78" s="134" t="n">
        <v>142.8</v>
      </c>
      <c r="F78" s="134" t="n">
        <v>144.4</v>
      </c>
    </row>
    <row r="79">
      <c r="B79" s="131" t="n">
        <v>2022</v>
      </c>
      <c r="C79" s="132" t="inlineStr">
        <is>
          <t>SK</t>
        </is>
      </c>
      <c r="D79" s="132" t="inlineStr">
        <is>
          <t>Saskatchewan</t>
        </is>
      </c>
      <c r="E79" s="134" t="n">
        <v>145.8</v>
      </c>
      <c r="F79" s="134" t="n">
        <v>153.9</v>
      </c>
    </row>
    <row r="80">
      <c r="B80" s="131" t="n">
        <v>2023</v>
      </c>
      <c r="C80" s="132" t="inlineStr">
        <is>
          <t>SK</t>
        </is>
      </c>
      <c r="D80" s="132" t="inlineStr">
        <is>
          <t>Saskatchewan</t>
        </is>
      </c>
      <c r="E80" s="134" t="n">
        <v>150.6</v>
      </c>
      <c r="F80" s="134" t="n">
        <v>160</v>
      </c>
    </row>
    <row r="81">
      <c r="B81" s="131" t="n">
        <v>2024</v>
      </c>
      <c r="C81" s="132" t="inlineStr">
        <is>
          <t>SK</t>
        </is>
      </c>
      <c r="D81" s="132" t="inlineStr">
        <is>
          <t>Saskatchewan</t>
        </is>
      </c>
      <c r="E81" s="134" t="n">
        <v>162.8</v>
      </c>
      <c r="F81" s="134" t="n">
        <v>162.3</v>
      </c>
    </row>
    <row r="82">
      <c r="B82" s="131" t="n">
        <v>2025</v>
      </c>
      <c r="C82" s="132" t="inlineStr">
        <is>
          <t>SK</t>
        </is>
      </c>
      <c r="D82" s="132" t="inlineStr">
        <is>
          <t>Saskatchewan</t>
        </is>
      </c>
      <c r="E82" s="134" t="n">
        <v>172.1</v>
      </c>
      <c r="F82" s="134" t="n">
        <v>165.7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3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G133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0" customWidth="1" min="2" max="2"/>
    <col width="6" customWidth="1" min="3" max="3"/>
    <col width="40" customWidth="1" min="4" max="4"/>
    <col width="11" customWidth="1" min="5" max="5"/>
    <col width="11" customWidth="1" min="6" max="6"/>
    <col width="22" customWidth="1" min="7" max="7"/>
  </cols>
  <sheetData>
    <row r="1" ht="34" customHeight="1">
      <c r="A1" s="1" t="n"/>
      <c r="B1" s="30" t="inlineStr">
        <is>
          <t>Loyers trimestriels</t>
        </is>
      </c>
      <c r="C1" s="1" t="n"/>
      <c r="D1" s="1" t="n"/>
      <c r="E1" s="1" t="n"/>
      <c r="F1" s="1" t="n"/>
      <c r="G1" s="31">
        <f>HYPERLINK("#'Accueil'!A1","← Accueil")</f>
        <v/>
      </c>
    </row>
    <row r="2" ht="20" customHeight="1">
      <c r="A2" s="1" t="n"/>
      <c r="B2" s="3" t="inlineStr">
        <is>
          <t>Statistique Canada 46-10-0092-01 · 2 chambres · les 16 régions où loyer demandé et payé sont publiés</t>
        </is>
      </c>
      <c r="C2" s="1" t="n"/>
      <c r="D2" s="1" t="n"/>
      <c r="E2" s="1" t="n"/>
      <c r="F2" s="1" t="n"/>
      <c r="G2" s="1" t="n"/>
    </row>
    <row r="3" ht="5" customHeight="1">
      <c r="A3" s="4" t="n"/>
      <c r="B3" s="4" t="n"/>
      <c r="C3" s="4" t="n"/>
      <c r="D3" s="4" t="n"/>
      <c r="E3" s="5" t="n"/>
      <c r="F3" s="5" t="n"/>
      <c r="G3" s="5" t="n"/>
    </row>
    <row r="5" ht="30" customHeight="1">
      <c r="B5" s="46" t="inlineStr">
        <is>
          <t>Trimestre</t>
        </is>
      </c>
      <c r="C5" s="46" t="inlineStr">
        <is>
          <t>ID</t>
        </is>
      </c>
      <c r="D5" s="46" t="inlineStr">
        <is>
          <t>Région métropolitaine</t>
        </is>
      </c>
      <c r="E5" s="46" t="inlineStr">
        <is>
          <t>Estimation</t>
        </is>
      </c>
      <c r="F5" s="46" t="inlineStr">
        <is>
          <t>Loyer ($)</t>
        </is>
      </c>
      <c r="G5" s="46" t="inlineStr">
        <is>
          <t>Fiabilité</t>
        </is>
      </c>
    </row>
    <row r="6">
      <c r="B6" s="132" t="inlineStr">
        <is>
          <t>2025 T3</t>
        </is>
      </c>
      <c r="C6" s="131" t="n">
        <v>2</v>
      </c>
      <c r="D6" s="132" t="inlineStr">
        <is>
          <t>Halifax</t>
        </is>
      </c>
      <c r="E6" s="132" t="inlineStr">
        <is>
          <t>Demandé</t>
        </is>
      </c>
      <c r="F6" s="133" t="n">
        <v>2310</v>
      </c>
      <c r="G6" s="132" t="inlineStr">
        <is>
          <t>Normale</t>
        </is>
      </c>
    </row>
    <row r="7">
      <c r="B7" s="132" t="inlineStr">
        <is>
          <t>2025 T4</t>
        </is>
      </c>
      <c r="C7" s="131" t="n">
        <v>2</v>
      </c>
      <c r="D7" s="132" t="inlineStr">
        <is>
          <t>Halifax</t>
        </is>
      </c>
      <c r="E7" s="132" t="inlineStr">
        <is>
          <t>Demandé</t>
        </is>
      </c>
      <c r="F7" s="133" t="n">
        <v>2260</v>
      </c>
      <c r="G7" s="132" t="inlineStr">
        <is>
          <t>Normale</t>
        </is>
      </c>
    </row>
    <row r="8">
      <c r="B8" s="132" t="inlineStr">
        <is>
          <t>2026 T1</t>
        </is>
      </c>
      <c r="C8" s="131" t="n">
        <v>2</v>
      </c>
      <c r="D8" s="132" t="inlineStr">
        <is>
          <t>Halifax</t>
        </is>
      </c>
      <c r="E8" s="132" t="inlineStr">
        <is>
          <t>Demandé</t>
        </is>
      </c>
      <c r="F8" s="133" t="n">
        <v>2350</v>
      </c>
      <c r="G8" s="132" t="inlineStr">
        <is>
          <t>Normale</t>
        </is>
      </c>
    </row>
    <row r="9">
      <c r="B9" s="132" t="inlineStr">
        <is>
          <t>2026 T2</t>
        </is>
      </c>
      <c r="C9" s="131" t="n">
        <v>2</v>
      </c>
      <c r="D9" s="132" t="inlineStr">
        <is>
          <t>Halifax</t>
        </is>
      </c>
      <c r="E9" s="132" t="inlineStr">
        <is>
          <t>Demandé</t>
        </is>
      </c>
      <c r="F9" s="133" t="n">
        <v>2400</v>
      </c>
      <c r="G9" s="132" t="inlineStr">
        <is>
          <t>Normale</t>
        </is>
      </c>
    </row>
    <row r="10">
      <c r="B10" s="132" t="inlineStr">
        <is>
          <t>2025 T3</t>
        </is>
      </c>
      <c r="C10" s="131" t="n">
        <v>2</v>
      </c>
      <c r="D10" s="132" t="inlineStr">
        <is>
          <t>Halifax</t>
        </is>
      </c>
      <c r="E10" s="132" t="inlineStr">
        <is>
          <t>Payé</t>
        </is>
      </c>
      <c r="F10" s="133" t="n">
        <v>1680</v>
      </c>
      <c r="G10" s="132" t="inlineStr">
        <is>
          <t>Normale</t>
        </is>
      </c>
    </row>
    <row r="11">
      <c r="B11" s="132" t="inlineStr">
        <is>
          <t>2025 T4</t>
        </is>
      </c>
      <c r="C11" s="131" t="n">
        <v>2</v>
      </c>
      <c r="D11" s="132" t="inlineStr">
        <is>
          <t>Halifax</t>
        </is>
      </c>
      <c r="E11" s="132" t="inlineStr">
        <is>
          <t>Payé</t>
        </is>
      </c>
      <c r="F11" s="133" t="n">
        <v>1730</v>
      </c>
      <c r="G11" s="132" t="inlineStr">
        <is>
          <t>Normale</t>
        </is>
      </c>
    </row>
    <row r="12">
      <c r="B12" s="132" t="inlineStr">
        <is>
          <t>2026 T1</t>
        </is>
      </c>
      <c r="C12" s="131" t="n">
        <v>2</v>
      </c>
      <c r="D12" s="132" t="inlineStr">
        <is>
          <t>Halifax</t>
        </is>
      </c>
      <c r="E12" s="132" t="inlineStr">
        <is>
          <t>Payé</t>
        </is>
      </c>
      <c r="F12" s="133" t="n">
        <v>1750</v>
      </c>
      <c r="G12" s="132" t="inlineStr">
        <is>
          <t>Normale</t>
        </is>
      </c>
    </row>
    <row r="13">
      <c r="B13" s="132" t="inlineStr">
        <is>
          <t>2026 T2</t>
        </is>
      </c>
      <c r="C13" s="131" t="n">
        <v>2</v>
      </c>
      <c r="D13" s="132" t="inlineStr">
        <is>
          <t>Halifax</t>
        </is>
      </c>
      <c r="E13" s="132" t="inlineStr">
        <is>
          <t>Payé</t>
        </is>
      </c>
      <c r="F13" s="133" t="n">
        <v>1770</v>
      </c>
      <c r="G13" s="132" t="inlineStr">
        <is>
          <t>Normale</t>
        </is>
      </c>
    </row>
    <row r="14">
      <c r="B14" s="132" t="inlineStr">
        <is>
          <t>2025 T3</t>
        </is>
      </c>
      <c r="C14" s="131" t="n">
        <v>7</v>
      </c>
      <c r="D14" s="132" t="inlineStr">
        <is>
          <t>Montréal</t>
        </is>
      </c>
      <c r="E14" s="132" t="inlineStr">
        <is>
          <t>Demandé</t>
        </is>
      </c>
      <c r="F14" s="133" t="n">
        <v>1930</v>
      </c>
      <c r="G14" s="132" t="inlineStr">
        <is>
          <t>Normale</t>
        </is>
      </c>
    </row>
    <row r="15">
      <c r="B15" s="132" t="inlineStr">
        <is>
          <t>2025 T4</t>
        </is>
      </c>
      <c r="C15" s="131" t="n">
        <v>7</v>
      </c>
      <c r="D15" s="132" t="inlineStr">
        <is>
          <t>Montréal</t>
        </is>
      </c>
      <c r="E15" s="132" t="inlineStr">
        <is>
          <t>Demandé</t>
        </is>
      </c>
      <c r="F15" s="133" t="n">
        <v>1920</v>
      </c>
      <c r="G15" s="132" t="inlineStr">
        <is>
          <t>Normale</t>
        </is>
      </c>
    </row>
    <row r="16">
      <c r="B16" s="132" t="inlineStr">
        <is>
          <t>2026 T1</t>
        </is>
      </c>
      <c r="C16" s="131" t="n">
        <v>7</v>
      </c>
      <c r="D16" s="132" t="inlineStr">
        <is>
          <t>Montréal</t>
        </is>
      </c>
      <c r="E16" s="132" t="inlineStr">
        <is>
          <t>Demandé</t>
        </is>
      </c>
      <c r="F16" s="133" t="n">
        <v>1900</v>
      </c>
      <c r="G16" s="132" t="inlineStr">
        <is>
          <t>Normale</t>
        </is>
      </c>
    </row>
    <row r="17">
      <c r="B17" s="132" t="inlineStr">
        <is>
          <t>2026 T2</t>
        </is>
      </c>
      <c r="C17" s="131" t="n">
        <v>7</v>
      </c>
      <c r="D17" s="132" t="inlineStr">
        <is>
          <t>Montréal</t>
        </is>
      </c>
      <c r="E17" s="132" t="inlineStr">
        <is>
          <t>Demandé</t>
        </is>
      </c>
      <c r="F17" s="133" t="n">
        <v>1820</v>
      </c>
      <c r="G17" s="132" t="inlineStr">
        <is>
          <t>Normale</t>
        </is>
      </c>
    </row>
    <row r="18">
      <c r="B18" s="132" t="inlineStr">
        <is>
          <t>2025 T3</t>
        </is>
      </c>
      <c r="C18" s="131" t="n">
        <v>7</v>
      </c>
      <c r="D18" s="132" t="inlineStr">
        <is>
          <t>Montréal</t>
        </is>
      </c>
      <c r="E18" s="132" t="inlineStr">
        <is>
          <t>Payé</t>
        </is>
      </c>
      <c r="F18" s="133" t="n">
        <v>1240</v>
      </c>
      <c r="G18" s="132" t="inlineStr">
        <is>
          <t>Normale</t>
        </is>
      </c>
    </row>
    <row r="19">
      <c r="B19" s="132" t="inlineStr">
        <is>
          <t>2025 T4</t>
        </is>
      </c>
      <c r="C19" s="131" t="n">
        <v>7</v>
      </c>
      <c r="D19" s="132" t="inlineStr">
        <is>
          <t>Montréal</t>
        </is>
      </c>
      <c r="E19" s="132" t="inlineStr">
        <is>
          <t>Payé</t>
        </is>
      </c>
      <c r="F19" s="133" t="n">
        <v>1290</v>
      </c>
      <c r="G19" s="132" t="inlineStr">
        <is>
          <t>Normale</t>
        </is>
      </c>
    </row>
    <row r="20">
      <c r="B20" s="132" t="inlineStr">
        <is>
          <t>2026 T1</t>
        </is>
      </c>
      <c r="C20" s="131" t="n">
        <v>7</v>
      </c>
      <c r="D20" s="132" t="inlineStr">
        <is>
          <t>Montréal</t>
        </is>
      </c>
      <c r="E20" s="132" t="inlineStr">
        <is>
          <t>Payé</t>
        </is>
      </c>
      <c r="F20" s="133" t="n">
        <v>1340</v>
      </c>
      <c r="G20" s="132" t="inlineStr">
        <is>
          <t>Normale</t>
        </is>
      </c>
    </row>
    <row r="21">
      <c r="B21" s="132" t="inlineStr">
        <is>
          <t>2026 T2</t>
        </is>
      </c>
      <c r="C21" s="131" t="n">
        <v>7</v>
      </c>
      <c r="D21" s="132" t="inlineStr">
        <is>
          <t>Montréal</t>
        </is>
      </c>
      <c r="E21" s="132" t="inlineStr">
        <is>
          <t>Payé</t>
        </is>
      </c>
      <c r="F21" s="133" t="n">
        <v>1360</v>
      </c>
      <c r="G21" s="132" t="inlineStr">
        <is>
          <t>Normale</t>
        </is>
      </c>
    </row>
    <row r="22">
      <c r="B22" s="132" t="inlineStr">
        <is>
          <t>2025 T3</t>
        </is>
      </c>
      <c r="C22" s="131" t="n">
        <v>8</v>
      </c>
      <c r="D22" s="132" t="inlineStr">
        <is>
          <t>Gatineau (Ottawa-Gatineau, partie québécoise)</t>
        </is>
      </c>
      <c r="E22" s="132" t="inlineStr">
        <is>
          <t>Demandé</t>
        </is>
      </c>
      <c r="F22" s="133" t="n">
        <v>1730</v>
      </c>
      <c r="G22" s="132" t="inlineStr">
        <is>
          <t>Normale</t>
        </is>
      </c>
    </row>
    <row r="23">
      <c r="B23" s="132" t="inlineStr">
        <is>
          <t>2025 T4</t>
        </is>
      </c>
      <c r="C23" s="131" t="n">
        <v>8</v>
      </c>
      <c r="D23" s="132" t="inlineStr">
        <is>
          <t>Gatineau (Ottawa-Gatineau, partie québécoise)</t>
        </is>
      </c>
      <c r="E23" s="132" t="inlineStr">
        <is>
          <t>Demandé</t>
        </is>
      </c>
      <c r="F23" s="133" t="n">
        <v>1660</v>
      </c>
      <c r="G23" s="132" t="inlineStr">
        <is>
          <t>Normale</t>
        </is>
      </c>
    </row>
    <row r="24">
      <c r="B24" s="132" t="inlineStr">
        <is>
          <t>2026 T1</t>
        </is>
      </c>
      <c r="C24" s="131" t="n">
        <v>8</v>
      </c>
      <c r="D24" s="132" t="inlineStr">
        <is>
          <t>Gatineau (Ottawa-Gatineau, partie québécoise)</t>
        </is>
      </c>
      <c r="E24" s="132" t="inlineStr">
        <is>
          <t>Demandé</t>
        </is>
      </c>
      <c r="F24" s="133" t="n">
        <v>1660</v>
      </c>
      <c r="G24" s="132" t="inlineStr">
        <is>
          <t>Normale</t>
        </is>
      </c>
    </row>
    <row r="25">
      <c r="B25" s="132" t="inlineStr">
        <is>
          <t>2026 T2</t>
        </is>
      </c>
      <c r="C25" s="131" t="n">
        <v>8</v>
      </c>
      <c r="D25" s="132" t="inlineStr">
        <is>
          <t>Gatineau (Ottawa-Gatineau, partie québécoise)</t>
        </is>
      </c>
      <c r="E25" s="132" t="inlineStr">
        <is>
          <t>Demandé</t>
        </is>
      </c>
      <c r="F25" s="133" t="n">
        <v>1700</v>
      </c>
      <c r="G25" s="132" t="inlineStr">
        <is>
          <t>Normale</t>
        </is>
      </c>
    </row>
    <row r="26">
      <c r="B26" s="132" t="inlineStr">
        <is>
          <t>2025 T3</t>
        </is>
      </c>
      <c r="C26" s="131" t="n">
        <v>8</v>
      </c>
      <c r="D26" s="132" t="inlineStr">
        <is>
          <t>Gatineau (Ottawa-Gatineau, partie québécoise)</t>
        </is>
      </c>
      <c r="E26" s="132" t="inlineStr">
        <is>
          <t>Payé</t>
        </is>
      </c>
      <c r="F26" s="133" t="n">
        <v>1320</v>
      </c>
      <c r="G26" s="132" t="inlineStr">
        <is>
          <t>À utiliser avec prudence</t>
        </is>
      </c>
    </row>
    <row r="27">
      <c r="B27" s="132" t="inlineStr">
        <is>
          <t>2025 T4</t>
        </is>
      </c>
      <c r="C27" s="131" t="n">
        <v>8</v>
      </c>
      <c r="D27" s="132" t="inlineStr">
        <is>
          <t>Gatineau (Ottawa-Gatineau, partie québécoise)</t>
        </is>
      </c>
      <c r="E27" s="132" t="inlineStr">
        <is>
          <t>Payé</t>
        </is>
      </c>
      <c r="F27" s="133" t="n">
        <v>1340</v>
      </c>
      <c r="G27" s="132" t="inlineStr">
        <is>
          <t>Normale</t>
        </is>
      </c>
    </row>
    <row r="28">
      <c r="B28" s="132" t="inlineStr">
        <is>
          <t>2026 T1</t>
        </is>
      </c>
      <c r="C28" s="131" t="n">
        <v>8</v>
      </c>
      <c r="D28" s="132" t="inlineStr">
        <is>
          <t>Gatineau (Ottawa-Gatineau, partie québécoise)</t>
        </is>
      </c>
      <c r="E28" s="132" t="inlineStr">
        <is>
          <t>Payé</t>
        </is>
      </c>
      <c r="F28" s="133" t="n">
        <v>1360</v>
      </c>
      <c r="G28" s="132" t="inlineStr">
        <is>
          <t>Normale</t>
        </is>
      </c>
    </row>
    <row r="29">
      <c r="B29" s="132" t="inlineStr">
        <is>
          <t>2026 T2</t>
        </is>
      </c>
      <c r="C29" s="131" t="n">
        <v>8</v>
      </c>
      <c r="D29" s="132" t="inlineStr">
        <is>
          <t>Gatineau (Ottawa-Gatineau, partie québécoise)</t>
        </is>
      </c>
      <c r="E29" s="132" t="inlineStr">
        <is>
          <t>Payé</t>
        </is>
      </c>
      <c r="F29" s="133" t="n">
        <v>1370</v>
      </c>
      <c r="G29" s="132" t="inlineStr">
        <is>
          <t>Normale</t>
        </is>
      </c>
    </row>
    <row r="30">
      <c r="B30" s="132" t="inlineStr">
        <is>
          <t>2025 T3</t>
        </is>
      </c>
      <c r="C30" s="131" t="n">
        <v>9</v>
      </c>
      <c r="D30" s="132" t="inlineStr">
        <is>
          <t>Québec</t>
        </is>
      </c>
      <c r="E30" s="132" t="inlineStr">
        <is>
          <t>Demandé</t>
        </is>
      </c>
      <c r="F30" s="133" t="n">
        <v>1520</v>
      </c>
      <c r="G30" s="132" t="inlineStr">
        <is>
          <t>Normale</t>
        </is>
      </c>
    </row>
    <row r="31">
      <c r="B31" s="132" t="inlineStr">
        <is>
          <t>2025 T4</t>
        </is>
      </c>
      <c r="C31" s="131" t="n">
        <v>9</v>
      </c>
      <c r="D31" s="132" t="inlineStr">
        <is>
          <t>Québec</t>
        </is>
      </c>
      <c r="E31" s="132" t="inlineStr">
        <is>
          <t>Demandé</t>
        </is>
      </c>
      <c r="F31" s="133" t="n">
        <v>1470</v>
      </c>
      <c r="G31" s="132" t="inlineStr">
        <is>
          <t>Normale</t>
        </is>
      </c>
    </row>
    <row r="32">
      <c r="B32" s="132" t="inlineStr">
        <is>
          <t>2026 T1</t>
        </is>
      </c>
      <c r="C32" s="131" t="n">
        <v>9</v>
      </c>
      <c r="D32" s="132" t="inlineStr">
        <is>
          <t>Québec</t>
        </is>
      </c>
      <c r="E32" s="132" t="inlineStr">
        <is>
          <t>Demandé</t>
        </is>
      </c>
      <c r="F32" s="133" t="n">
        <v>1430</v>
      </c>
      <c r="G32" s="132" t="inlineStr">
        <is>
          <t>Normale</t>
        </is>
      </c>
    </row>
    <row r="33">
      <c r="B33" s="132" t="inlineStr">
        <is>
          <t>2026 T2</t>
        </is>
      </c>
      <c r="C33" s="131" t="n">
        <v>9</v>
      </c>
      <c r="D33" s="132" t="inlineStr">
        <is>
          <t>Québec</t>
        </is>
      </c>
      <c r="E33" s="132" t="inlineStr">
        <is>
          <t>Demandé</t>
        </is>
      </c>
      <c r="F33" s="133" t="n">
        <v>1460</v>
      </c>
      <c r="G33" s="132" t="inlineStr">
        <is>
          <t>Normale</t>
        </is>
      </c>
    </row>
    <row r="34">
      <c r="B34" s="132" t="inlineStr">
        <is>
          <t>2025 T3</t>
        </is>
      </c>
      <c r="C34" s="131" t="n">
        <v>9</v>
      </c>
      <c r="D34" s="132" t="inlineStr">
        <is>
          <t>Québec</t>
        </is>
      </c>
      <c r="E34" s="132" t="inlineStr">
        <is>
          <t>Payé</t>
        </is>
      </c>
      <c r="F34" s="133" t="n">
        <v>1170</v>
      </c>
      <c r="G34" s="132" t="inlineStr">
        <is>
          <t>Normale</t>
        </is>
      </c>
    </row>
    <row r="35">
      <c r="B35" s="132" t="inlineStr">
        <is>
          <t>2025 T4</t>
        </is>
      </c>
      <c r="C35" s="131" t="n">
        <v>9</v>
      </c>
      <c r="D35" s="132" t="inlineStr">
        <is>
          <t>Québec</t>
        </is>
      </c>
      <c r="E35" s="132" t="inlineStr">
        <is>
          <t>Payé</t>
        </is>
      </c>
      <c r="F35" s="133" t="n">
        <v>1230</v>
      </c>
      <c r="G35" s="132" t="inlineStr">
        <is>
          <t>À utiliser avec prudence</t>
        </is>
      </c>
    </row>
    <row r="36">
      <c r="B36" s="132" t="inlineStr">
        <is>
          <t>2026 T1</t>
        </is>
      </c>
      <c r="C36" s="131" t="n">
        <v>9</v>
      </c>
      <c r="D36" s="132" t="inlineStr">
        <is>
          <t>Québec</t>
        </is>
      </c>
      <c r="E36" s="132" t="inlineStr">
        <is>
          <t>Payé</t>
        </is>
      </c>
      <c r="F36" s="133" t="n">
        <v>1240</v>
      </c>
      <c r="G36" s="132" t="inlineStr">
        <is>
          <t>À utiliser avec prudence</t>
        </is>
      </c>
    </row>
    <row r="37">
      <c r="B37" s="132" t="inlineStr">
        <is>
          <t>2026 T2</t>
        </is>
      </c>
      <c r="C37" s="131" t="n">
        <v>9</v>
      </c>
      <c r="D37" s="132" t="inlineStr">
        <is>
          <t>Québec</t>
        </is>
      </c>
      <c r="E37" s="132" t="inlineStr">
        <is>
          <t>Payé</t>
        </is>
      </c>
      <c r="F37" s="133" t="n">
        <v>1230</v>
      </c>
      <c r="G37" s="132" t="inlineStr">
        <is>
          <t>Normale</t>
        </is>
      </c>
    </row>
    <row r="38">
      <c r="B38" s="132" t="inlineStr">
        <is>
          <t>2025 T3</t>
        </is>
      </c>
      <c r="C38" s="131" t="n">
        <v>11</v>
      </c>
      <c r="D38" s="132" t="inlineStr">
        <is>
          <t>Sherbrooke</t>
        </is>
      </c>
      <c r="E38" s="132" t="inlineStr">
        <is>
          <t>Demandé</t>
        </is>
      </c>
      <c r="F38" s="133" t="n">
        <v>1230</v>
      </c>
      <c r="G38" s="132" t="inlineStr">
        <is>
          <t>Normale</t>
        </is>
      </c>
    </row>
    <row r="39">
      <c r="B39" s="132" t="inlineStr">
        <is>
          <t>2025 T4</t>
        </is>
      </c>
      <c r="C39" s="131" t="n">
        <v>11</v>
      </c>
      <c r="D39" s="132" t="inlineStr">
        <is>
          <t>Sherbrooke</t>
        </is>
      </c>
      <c r="E39" s="132" t="inlineStr">
        <is>
          <t>Demandé</t>
        </is>
      </c>
      <c r="F39" s="133" t="n">
        <v>1250</v>
      </c>
      <c r="G39" s="132" t="inlineStr">
        <is>
          <t>Normale</t>
        </is>
      </c>
    </row>
    <row r="40">
      <c r="B40" s="132" t="inlineStr">
        <is>
          <t>2026 T1</t>
        </is>
      </c>
      <c r="C40" s="131" t="n">
        <v>11</v>
      </c>
      <c r="D40" s="132" t="inlineStr">
        <is>
          <t>Sherbrooke</t>
        </is>
      </c>
      <c r="E40" s="132" t="inlineStr">
        <is>
          <t>Demandé</t>
        </is>
      </c>
      <c r="F40" s="133" t="n">
        <v>1250</v>
      </c>
      <c r="G40" s="132" t="inlineStr">
        <is>
          <t>Normale</t>
        </is>
      </c>
    </row>
    <row r="41">
      <c r="B41" s="132" t="inlineStr">
        <is>
          <t>2026 T2</t>
        </is>
      </c>
      <c r="C41" s="131" t="n">
        <v>11</v>
      </c>
      <c r="D41" s="132" t="inlineStr">
        <is>
          <t>Sherbrooke</t>
        </is>
      </c>
      <c r="E41" s="132" t="inlineStr">
        <is>
          <t>Demandé</t>
        </is>
      </c>
      <c r="F41" s="133" t="n">
        <v>1300</v>
      </c>
      <c r="G41" s="132" t="inlineStr">
        <is>
          <t>Normale</t>
        </is>
      </c>
    </row>
    <row r="42">
      <c r="B42" s="132" t="inlineStr">
        <is>
          <t>2025 T3</t>
        </is>
      </c>
      <c r="C42" s="131" t="n">
        <v>11</v>
      </c>
      <c r="D42" s="132" t="inlineStr">
        <is>
          <t>Sherbrooke</t>
        </is>
      </c>
      <c r="E42" s="132" t="inlineStr">
        <is>
          <t>Payé</t>
        </is>
      </c>
      <c r="F42" s="133" t="n">
        <v>930</v>
      </c>
      <c r="G42" s="132" t="inlineStr">
        <is>
          <t>Normale</t>
        </is>
      </c>
    </row>
    <row r="43">
      <c r="B43" s="132" t="inlineStr">
        <is>
          <t>2025 T4</t>
        </is>
      </c>
      <c r="C43" s="131" t="n">
        <v>11</v>
      </c>
      <c r="D43" s="132" t="inlineStr">
        <is>
          <t>Sherbrooke</t>
        </is>
      </c>
      <c r="E43" s="132" t="inlineStr">
        <is>
          <t>Payé</t>
        </is>
      </c>
      <c r="F43" s="133" t="n">
        <v>960</v>
      </c>
      <c r="G43" s="132" t="inlineStr">
        <is>
          <t>Normale</t>
        </is>
      </c>
    </row>
    <row r="44">
      <c r="B44" s="132" t="inlineStr">
        <is>
          <t>2026 T1</t>
        </is>
      </c>
      <c r="C44" s="131" t="n">
        <v>11</v>
      </c>
      <c r="D44" s="132" t="inlineStr">
        <is>
          <t>Sherbrooke</t>
        </is>
      </c>
      <c r="E44" s="132" t="inlineStr">
        <is>
          <t>Payé</t>
        </is>
      </c>
      <c r="F44" s="133" t="n">
        <v>960</v>
      </c>
      <c r="G44" s="132" t="inlineStr">
        <is>
          <t>Normale</t>
        </is>
      </c>
    </row>
    <row r="45">
      <c r="B45" s="132" t="inlineStr">
        <is>
          <t>2026 T2</t>
        </is>
      </c>
      <c r="C45" s="131" t="n">
        <v>11</v>
      </c>
      <c r="D45" s="132" t="inlineStr">
        <is>
          <t>Sherbrooke</t>
        </is>
      </c>
      <c r="E45" s="132" t="inlineStr">
        <is>
          <t>Payé</t>
        </is>
      </c>
      <c r="F45" s="133" t="n">
        <v>960</v>
      </c>
      <c r="G45" s="132" t="inlineStr">
        <is>
          <t>Normale</t>
        </is>
      </c>
    </row>
    <row r="46">
      <c r="B46" s="132" t="inlineStr">
        <is>
          <t>2025 T3</t>
        </is>
      </c>
      <c r="C46" s="131" t="n">
        <v>16</v>
      </c>
      <c r="D46" s="132" t="inlineStr">
        <is>
          <t>Grand Sudbury</t>
        </is>
      </c>
      <c r="E46" s="132" t="inlineStr">
        <is>
          <t>Demandé</t>
        </is>
      </c>
      <c r="F46" s="133" t="n">
        <v>1950</v>
      </c>
      <c r="G46" s="132" t="inlineStr">
        <is>
          <t>Normale</t>
        </is>
      </c>
    </row>
    <row r="47">
      <c r="B47" s="132" t="inlineStr">
        <is>
          <t>2025 T4</t>
        </is>
      </c>
      <c r="C47" s="131" t="n">
        <v>16</v>
      </c>
      <c r="D47" s="132" t="inlineStr">
        <is>
          <t>Grand Sudbury</t>
        </is>
      </c>
      <c r="E47" s="132" t="inlineStr">
        <is>
          <t>Demandé</t>
        </is>
      </c>
      <c r="F47" s="133" t="n">
        <v>1970</v>
      </c>
      <c r="G47" s="132" t="inlineStr">
        <is>
          <t>Normale</t>
        </is>
      </c>
    </row>
    <row r="48">
      <c r="B48" s="132" t="inlineStr">
        <is>
          <t>2026 T1</t>
        </is>
      </c>
      <c r="C48" s="131" t="n">
        <v>16</v>
      </c>
      <c r="D48" s="132" t="inlineStr">
        <is>
          <t>Grand Sudbury</t>
        </is>
      </c>
      <c r="E48" s="132" t="inlineStr">
        <is>
          <t>Demandé</t>
        </is>
      </c>
      <c r="F48" s="133" t="n">
        <v>1970</v>
      </c>
      <c r="G48" s="132" t="inlineStr">
        <is>
          <t>Normale</t>
        </is>
      </c>
    </row>
    <row r="49">
      <c r="B49" s="132" t="inlineStr">
        <is>
          <t>2026 T2</t>
        </is>
      </c>
      <c r="C49" s="131" t="n">
        <v>16</v>
      </c>
      <c r="D49" s="132" t="inlineStr">
        <is>
          <t>Grand Sudbury</t>
        </is>
      </c>
      <c r="E49" s="132" t="inlineStr">
        <is>
          <t>Demandé</t>
        </is>
      </c>
      <c r="F49" s="133" t="n">
        <v>1940</v>
      </c>
      <c r="G49" s="132" t="inlineStr">
        <is>
          <t>Normale</t>
        </is>
      </c>
    </row>
    <row r="50">
      <c r="B50" s="132" t="inlineStr">
        <is>
          <t>2025 T3</t>
        </is>
      </c>
      <c r="C50" s="131" t="n">
        <v>16</v>
      </c>
      <c r="D50" s="132" t="inlineStr">
        <is>
          <t>Grand Sudbury</t>
        </is>
      </c>
      <c r="E50" s="132" t="inlineStr">
        <is>
          <t>Payé</t>
        </is>
      </c>
      <c r="F50" s="133" t="n">
        <v>1380</v>
      </c>
      <c r="G50" s="132" t="inlineStr">
        <is>
          <t>Normale</t>
        </is>
      </c>
    </row>
    <row r="51">
      <c r="B51" s="132" t="inlineStr">
        <is>
          <t>2025 T4</t>
        </is>
      </c>
      <c r="C51" s="131" t="n">
        <v>16</v>
      </c>
      <c r="D51" s="132" t="inlineStr">
        <is>
          <t>Grand Sudbury</t>
        </is>
      </c>
      <c r="E51" s="132" t="inlineStr">
        <is>
          <t>Payé</t>
        </is>
      </c>
      <c r="F51" s="133" t="n">
        <v>1390</v>
      </c>
      <c r="G51" s="132" t="inlineStr">
        <is>
          <t>Normale</t>
        </is>
      </c>
    </row>
    <row r="52">
      <c r="B52" s="132" t="inlineStr">
        <is>
          <t>2026 T1</t>
        </is>
      </c>
      <c r="C52" s="131" t="n">
        <v>16</v>
      </c>
      <c r="D52" s="132" t="inlineStr">
        <is>
          <t>Grand Sudbury</t>
        </is>
      </c>
      <c r="E52" s="132" t="inlineStr">
        <is>
          <t>Payé</t>
        </is>
      </c>
      <c r="F52" s="133" t="n">
        <v>1400</v>
      </c>
      <c r="G52" s="132" t="inlineStr">
        <is>
          <t>Normale</t>
        </is>
      </c>
    </row>
    <row r="53">
      <c r="B53" s="132" t="inlineStr">
        <is>
          <t>2026 T2</t>
        </is>
      </c>
      <c r="C53" s="131" t="n">
        <v>16</v>
      </c>
      <c r="D53" s="132" t="inlineStr">
        <is>
          <t>Grand Sudbury</t>
        </is>
      </c>
      <c r="E53" s="132" t="inlineStr">
        <is>
          <t>Payé</t>
        </is>
      </c>
      <c r="F53" s="133" t="n">
        <v>1400</v>
      </c>
      <c r="G53" s="132" t="inlineStr">
        <is>
          <t>Normale</t>
        </is>
      </c>
    </row>
    <row r="54">
      <c r="B54" s="132" t="inlineStr">
        <is>
          <t>2025 T3</t>
        </is>
      </c>
      <c r="C54" s="131" t="n">
        <v>19</v>
      </c>
      <c r="D54" s="132" t="inlineStr">
        <is>
          <t>Kingston</t>
        </is>
      </c>
      <c r="E54" s="132" t="inlineStr">
        <is>
          <t>Demandé</t>
        </is>
      </c>
      <c r="F54" s="133" t="n">
        <v>1980</v>
      </c>
      <c r="G54" s="132" t="inlineStr">
        <is>
          <t>Normale</t>
        </is>
      </c>
    </row>
    <row r="55">
      <c r="B55" s="132" t="inlineStr">
        <is>
          <t>2025 T4</t>
        </is>
      </c>
      <c r="C55" s="131" t="n">
        <v>19</v>
      </c>
      <c r="D55" s="132" t="inlineStr">
        <is>
          <t>Kingston</t>
        </is>
      </c>
      <c r="E55" s="132" t="inlineStr">
        <is>
          <t>Demandé</t>
        </is>
      </c>
      <c r="F55" s="133" t="n">
        <v>1960</v>
      </c>
      <c r="G55" s="132" t="inlineStr">
        <is>
          <t>Normale</t>
        </is>
      </c>
    </row>
    <row r="56">
      <c r="B56" s="132" t="inlineStr">
        <is>
          <t>2026 T1</t>
        </is>
      </c>
      <c r="C56" s="131" t="n">
        <v>19</v>
      </c>
      <c r="D56" s="132" t="inlineStr">
        <is>
          <t>Kingston</t>
        </is>
      </c>
      <c r="E56" s="132" t="inlineStr">
        <is>
          <t>Demandé</t>
        </is>
      </c>
      <c r="F56" s="133" t="n">
        <v>1920</v>
      </c>
      <c r="G56" s="132" t="inlineStr">
        <is>
          <t>Normale</t>
        </is>
      </c>
    </row>
    <row r="57">
      <c r="B57" s="132" t="inlineStr">
        <is>
          <t>2026 T2</t>
        </is>
      </c>
      <c r="C57" s="131" t="n">
        <v>19</v>
      </c>
      <c r="D57" s="132" t="inlineStr">
        <is>
          <t>Kingston</t>
        </is>
      </c>
      <c r="E57" s="132" t="inlineStr">
        <is>
          <t>Demandé</t>
        </is>
      </c>
      <c r="F57" s="133" t="n">
        <v>1940</v>
      </c>
      <c r="G57" s="132" t="inlineStr">
        <is>
          <t>Normale</t>
        </is>
      </c>
    </row>
    <row r="58">
      <c r="B58" s="132" t="inlineStr">
        <is>
          <t>2025 T3</t>
        </is>
      </c>
      <c r="C58" s="131" t="n">
        <v>19</v>
      </c>
      <c r="D58" s="132" t="inlineStr">
        <is>
          <t>Kingston</t>
        </is>
      </c>
      <c r="E58" s="132" t="inlineStr">
        <is>
          <t>Payé</t>
        </is>
      </c>
      <c r="F58" s="133" t="n">
        <v>1660</v>
      </c>
      <c r="G58" s="132" t="inlineStr">
        <is>
          <t>Normale</t>
        </is>
      </c>
    </row>
    <row r="59">
      <c r="B59" s="132" t="inlineStr">
        <is>
          <t>2025 T4</t>
        </is>
      </c>
      <c r="C59" s="131" t="n">
        <v>19</v>
      </c>
      <c r="D59" s="132" t="inlineStr">
        <is>
          <t>Kingston</t>
        </is>
      </c>
      <c r="E59" s="132" t="inlineStr">
        <is>
          <t>Payé</t>
        </is>
      </c>
      <c r="F59" s="133" t="n">
        <v>1660</v>
      </c>
      <c r="G59" s="132" t="inlineStr">
        <is>
          <t>Normale</t>
        </is>
      </c>
    </row>
    <row r="60">
      <c r="B60" s="132" t="inlineStr">
        <is>
          <t>2026 T1</t>
        </is>
      </c>
      <c r="C60" s="131" t="n">
        <v>19</v>
      </c>
      <c r="D60" s="132" t="inlineStr">
        <is>
          <t>Kingston</t>
        </is>
      </c>
      <c r="E60" s="132" t="inlineStr">
        <is>
          <t>Payé</t>
        </is>
      </c>
      <c r="F60" s="133" t="n">
        <v>1710</v>
      </c>
      <c r="G60" s="132" t="inlineStr">
        <is>
          <t>Normale</t>
        </is>
      </c>
    </row>
    <row r="61">
      <c r="B61" s="132" t="inlineStr">
        <is>
          <t>2026 T2</t>
        </is>
      </c>
      <c r="C61" s="131" t="n">
        <v>19</v>
      </c>
      <c r="D61" s="132" t="inlineStr">
        <is>
          <t>Kingston</t>
        </is>
      </c>
      <c r="E61" s="132" t="inlineStr">
        <is>
          <t>Payé</t>
        </is>
      </c>
      <c r="F61" s="133" t="n">
        <v>1750</v>
      </c>
      <c r="G61" s="132" t="inlineStr">
        <is>
          <t>Normale</t>
        </is>
      </c>
    </row>
    <row r="62">
      <c r="B62" s="132" t="inlineStr">
        <is>
          <t>2025 T3</t>
        </is>
      </c>
      <c r="C62" s="131" t="n">
        <v>20</v>
      </c>
      <c r="D62" s="132" t="inlineStr">
        <is>
          <t>Kitchener - Cambridge - Waterloo</t>
        </is>
      </c>
      <c r="E62" s="132" t="inlineStr">
        <is>
          <t>Demandé</t>
        </is>
      </c>
      <c r="F62" s="133" t="n">
        <v>2150</v>
      </c>
      <c r="G62" s="132" t="inlineStr">
        <is>
          <t>Normale</t>
        </is>
      </c>
    </row>
    <row r="63">
      <c r="B63" s="132" t="inlineStr">
        <is>
          <t>2025 T4</t>
        </is>
      </c>
      <c r="C63" s="131" t="n">
        <v>20</v>
      </c>
      <c r="D63" s="132" t="inlineStr">
        <is>
          <t>Kitchener - Cambridge - Waterloo</t>
        </is>
      </c>
      <c r="E63" s="132" t="inlineStr">
        <is>
          <t>Demandé</t>
        </is>
      </c>
      <c r="F63" s="133" t="n">
        <v>2120</v>
      </c>
      <c r="G63" s="132" t="inlineStr">
        <is>
          <t>Normale</t>
        </is>
      </c>
    </row>
    <row r="64">
      <c r="B64" s="132" t="inlineStr">
        <is>
          <t>2026 T1</t>
        </is>
      </c>
      <c r="C64" s="131" t="n">
        <v>20</v>
      </c>
      <c r="D64" s="132" t="inlineStr">
        <is>
          <t>Kitchener - Cambridge - Waterloo</t>
        </is>
      </c>
      <c r="E64" s="132" t="inlineStr">
        <is>
          <t>Demandé</t>
        </is>
      </c>
      <c r="F64" s="133" t="n">
        <v>2110</v>
      </c>
      <c r="G64" s="132" t="inlineStr">
        <is>
          <t>Normale</t>
        </is>
      </c>
    </row>
    <row r="65">
      <c r="B65" s="132" t="inlineStr">
        <is>
          <t>2026 T2</t>
        </is>
      </c>
      <c r="C65" s="131" t="n">
        <v>20</v>
      </c>
      <c r="D65" s="132" t="inlineStr">
        <is>
          <t>Kitchener - Cambridge - Waterloo</t>
        </is>
      </c>
      <c r="E65" s="132" t="inlineStr">
        <is>
          <t>Demandé</t>
        </is>
      </c>
      <c r="F65" s="133" t="n">
        <v>2120</v>
      </c>
      <c r="G65" s="132" t="inlineStr">
        <is>
          <t>Normale</t>
        </is>
      </c>
    </row>
    <row r="66">
      <c r="B66" s="132" t="inlineStr">
        <is>
          <t>2025 T3</t>
        </is>
      </c>
      <c r="C66" s="131" t="n">
        <v>20</v>
      </c>
      <c r="D66" s="132" t="inlineStr">
        <is>
          <t>Kitchener - Cambridge - Waterloo</t>
        </is>
      </c>
      <c r="E66" s="132" t="inlineStr">
        <is>
          <t>Payé</t>
        </is>
      </c>
      <c r="F66" s="133" t="n">
        <v>1640</v>
      </c>
      <c r="G66" s="132" t="inlineStr">
        <is>
          <t>Normale</t>
        </is>
      </c>
    </row>
    <row r="67">
      <c r="B67" s="132" t="inlineStr">
        <is>
          <t>2025 T4</t>
        </is>
      </c>
      <c r="C67" s="131" t="n">
        <v>20</v>
      </c>
      <c r="D67" s="132" t="inlineStr">
        <is>
          <t>Kitchener - Cambridge - Waterloo</t>
        </is>
      </c>
      <c r="E67" s="132" t="inlineStr">
        <is>
          <t>Payé</t>
        </is>
      </c>
      <c r="F67" s="133" t="n">
        <v>1640</v>
      </c>
      <c r="G67" s="132" t="inlineStr">
        <is>
          <t>À utiliser avec prudence</t>
        </is>
      </c>
    </row>
    <row r="68">
      <c r="B68" s="132" t="inlineStr">
        <is>
          <t>2026 T1</t>
        </is>
      </c>
      <c r="C68" s="131" t="n">
        <v>20</v>
      </c>
      <c r="D68" s="132" t="inlineStr">
        <is>
          <t>Kitchener - Cambridge - Waterloo</t>
        </is>
      </c>
      <c r="E68" s="132" t="inlineStr">
        <is>
          <t>Payé</t>
        </is>
      </c>
      <c r="F68" s="133" t="n">
        <v>1660</v>
      </c>
      <c r="G68" s="132" t="inlineStr">
        <is>
          <t>À utiliser avec prudence</t>
        </is>
      </c>
    </row>
    <row r="69">
      <c r="B69" s="132" t="inlineStr">
        <is>
          <t>2026 T2</t>
        </is>
      </c>
      <c r="C69" s="131" t="n">
        <v>20</v>
      </c>
      <c r="D69" s="132" t="inlineStr">
        <is>
          <t>Kitchener - Cambridge - Waterloo</t>
        </is>
      </c>
      <c r="E69" s="132" t="inlineStr">
        <is>
          <t>Payé</t>
        </is>
      </c>
      <c r="F69" s="133" t="n">
        <v>1720</v>
      </c>
      <c r="G69" s="132" t="inlineStr">
        <is>
          <t>Normale</t>
        </is>
      </c>
    </row>
    <row r="70">
      <c r="B70" s="132" t="inlineStr">
        <is>
          <t>2025 T3</t>
        </is>
      </c>
      <c r="C70" s="131" t="n">
        <v>21</v>
      </c>
      <c r="D70" s="132" t="inlineStr">
        <is>
          <t>London</t>
        </is>
      </c>
      <c r="E70" s="132" t="inlineStr">
        <is>
          <t>Demandé</t>
        </is>
      </c>
      <c r="F70" s="133" t="n">
        <v>1980</v>
      </c>
      <c r="G70" s="132" t="inlineStr">
        <is>
          <t>Normale</t>
        </is>
      </c>
    </row>
    <row r="71">
      <c r="B71" s="132" t="inlineStr">
        <is>
          <t>2025 T4</t>
        </is>
      </c>
      <c r="C71" s="131" t="n">
        <v>21</v>
      </c>
      <c r="D71" s="132" t="inlineStr">
        <is>
          <t>London</t>
        </is>
      </c>
      <c r="E71" s="132" t="inlineStr">
        <is>
          <t>Demandé</t>
        </is>
      </c>
      <c r="F71" s="133" t="n">
        <v>1930</v>
      </c>
      <c r="G71" s="132" t="inlineStr">
        <is>
          <t>Normale</t>
        </is>
      </c>
    </row>
    <row r="72">
      <c r="B72" s="132" t="inlineStr">
        <is>
          <t>2026 T1</t>
        </is>
      </c>
      <c r="C72" s="131" t="n">
        <v>21</v>
      </c>
      <c r="D72" s="132" t="inlineStr">
        <is>
          <t>London</t>
        </is>
      </c>
      <c r="E72" s="132" t="inlineStr">
        <is>
          <t>Demandé</t>
        </is>
      </c>
      <c r="F72" s="133" t="n">
        <v>1930</v>
      </c>
      <c r="G72" s="132" t="inlineStr">
        <is>
          <t>Normale</t>
        </is>
      </c>
    </row>
    <row r="73">
      <c r="B73" s="132" t="inlineStr">
        <is>
          <t>2026 T2</t>
        </is>
      </c>
      <c r="C73" s="131" t="n">
        <v>21</v>
      </c>
      <c r="D73" s="132" t="inlineStr">
        <is>
          <t>London</t>
        </is>
      </c>
      <c r="E73" s="132" t="inlineStr">
        <is>
          <t>Demandé</t>
        </is>
      </c>
      <c r="F73" s="133" t="n">
        <v>1920</v>
      </c>
      <c r="G73" s="132" t="inlineStr">
        <is>
          <t>Normale</t>
        </is>
      </c>
    </row>
    <row r="74">
      <c r="B74" s="132" t="inlineStr">
        <is>
          <t>2025 T3</t>
        </is>
      </c>
      <c r="C74" s="131" t="n">
        <v>21</v>
      </c>
      <c r="D74" s="132" t="inlineStr">
        <is>
          <t>London</t>
        </is>
      </c>
      <c r="E74" s="132" t="inlineStr">
        <is>
          <t>Payé</t>
        </is>
      </c>
      <c r="F74" s="133" t="n">
        <v>1470</v>
      </c>
      <c r="G74" s="132" t="inlineStr">
        <is>
          <t>À utiliser avec prudence</t>
        </is>
      </c>
    </row>
    <row r="75">
      <c r="B75" s="132" t="inlineStr">
        <is>
          <t>2025 T4</t>
        </is>
      </c>
      <c r="C75" s="131" t="n">
        <v>21</v>
      </c>
      <c r="D75" s="132" t="inlineStr">
        <is>
          <t>London</t>
        </is>
      </c>
      <c r="E75" s="132" t="inlineStr">
        <is>
          <t>Payé</t>
        </is>
      </c>
      <c r="F75" s="133" t="n">
        <v>1490</v>
      </c>
      <c r="G75" s="132" t="inlineStr">
        <is>
          <t>Normale</t>
        </is>
      </c>
    </row>
    <row r="76">
      <c r="B76" s="132" t="inlineStr">
        <is>
          <t>2026 T1</t>
        </is>
      </c>
      <c r="C76" s="131" t="n">
        <v>21</v>
      </c>
      <c r="D76" s="132" t="inlineStr">
        <is>
          <t>London</t>
        </is>
      </c>
      <c r="E76" s="132" t="inlineStr">
        <is>
          <t>Payé</t>
        </is>
      </c>
      <c r="F76" s="133" t="n">
        <v>1540</v>
      </c>
      <c r="G76" s="132" t="inlineStr">
        <is>
          <t>Normale</t>
        </is>
      </c>
    </row>
    <row r="77">
      <c r="B77" s="132" t="inlineStr">
        <is>
          <t>2026 T2</t>
        </is>
      </c>
      <c r="C77" s="131" t="n">
        <v>21</v>
      </c>
      <c r="D77" s="132" t="inlineStr">
        <is>
          <t>London</t>
        </is>
      </c>
      <c r="E77" s="132" t="inlineStr">
        <is>
          <t>Payé</t>
        </is>
      </c>
      <c r="F77" s="133" t="n">
        <v>1560</v>
      </c>
      <c r="G77" s="132" t="inlineStr">
        <is>
          <t>Normale</t>
        </is>
      </c>
    </row>
    <row r="78">
      <c r="B78" s="132" t="inlineStr">
        <is>
          <t>2025 T3</t>
        </is>
      </c>
      <c r="C78" s="131" t="n">
        <v>27</v>
      </c>
      <c r="D78" s="132" t="inlineStr">
        <is>
          <t>Toronto</t>
        </is>
      </c>
      <c r="E78" s="132" t="inlineStr">
        <is>
          <t>Demandé</t>
        </is>
      </c>
      <c r="F78" s="133" t="n">
        <v>2720</v>
      </c>
      <c r="G78" s="132" t="inlineStr">
        <is>
          <t>Normale</t>
        </is>
      </c>
    </row>
    <row r="79">
      <c r="B79" s="132" t="inlineStr">
        <is>
          <t>2025 T4</t>
        </is>
      </c>
      <c r="C79" s="131" t="n">
        <v>27</v>
      </c>
      <c r="D79" s="132" t="inlineStr">
        <is>
          <t>Toronto</t>
        </is>
      </c>
      <c r="E79" s="132" t="inlineStr">
        <is>
          <t>Demandé</t>
        </is>
      </c>
      <c r="F79" s="133" t="n">
        <v>2670</v>
      </c>
      <c r="G79" s="132" t="inlineStr">
        <is>
          <t>Normale</t>
        </is>
      </c>
    </row>
    <row r="80">
      <c r="B80" s="132" t="inlineStr">
        <is>
          <t>2026 T1</t>
        </is>
      </c>
      <c r="C80" s="131" t="n">
        <v>27</v>
      </c>
      <c r="D80" s="132" t="inlineStr">
        <is>
          <t>Toronto</t>
        </is>
      </c>
      <c r="E80" s="132" t="inlineStr">
        <is>
          <t>Demandé</t>
        </is>
      </c>
      <c r="F80" s="133" t="n">
        <v>2660</v>
      </c>
      <c r="G80" s="132" t="inlineStr">
        <is>
          <t>Normale</t>
        </is>
      </c>
    </row>
    <row r="81">
      <c r="B81" s="132" t="inlineStr">
        <is>
          <t>2026 T2</t>
        </is>
      </c>
      <c r="C81" s="131" t="n">
        <v>27</v>
      </c>
      <c r="D81" s="132" t="inlineStr">
        <is>
          <t>Toronto</t>
        </is>
      </c>
      <c r="E81" s="132" t="inlineStr">
        <is>
          <t>Demandé</t>
        </is>
      </c>
      <c r="F81" s="133" t="n">
        <v>2650</v>
      </c>
      <c r="G81" s="132" t="inlineStr">
        <is>
          <t>Normale</t>
        </is>
      </c>
    </row>
    <row r="82">
      <c r="B82" s="132" t="inlineStr">
        <is>
          <t>2025 T3</t>
        </is>
      </c>
      <c r="C82" s="131" t="n">
        <v>27</v>
      </c>
      <c r="D82" s="132" t="inlineStr">
        <is>
          <t>Toronto</t>
        </is>
      </c>
      <c r="E82" s="132" t="inlineStr">
        <is>
          <t>Payé</t>
        </is>
      </c>
      <c r="F82" s="133" t="n">
        <v>2120</v>
      </c>
      <c r="G82" s="132" t="inlineStr">
        <is>
          <t>Normale</t>
        </is>
      </c>
    </row>
    <row r="83">
      <c r="B83" s="132" t="inlineStr">
        <is>
          <t>2025 T4</t>
        </is>
      </c>
      <c r="C83" s="131" t="n">
        <v>27</v>
      </c>
      <c r="D83" s="132" t="inlineStr">
        <is>
          <t>Toronto</t>
        </is>
      </c>
      <c r="E83" s="132" t="inlineStr">
        <is>
          <t>Payé</t>
        </is>
      </c>
      <c r="F83" s="133" t="n">
        <v>2140</v>
      </c>
      <c r="G83" s="132" t="inlineStr">
        <is>
          <t>Normale</t>
        </is>
      </c>
    </row>
    <row r="84">
      <c r="B84" s="132" t="inlineStr">
        <is>
          <t>2026 T1</t>
        </is>
      </c>
      <c r="C84" s="131" t="n">
        <v>27</v>
      </c>
      <c r="D84" s="132" t="inlineStr">
        <is>
          <t>Toronto</t>
        </is>
      </c>
      <c r="E84" s="132" t="inlineStr">
        <is>
          <t>Payé</t>
        </is>
      </c>
      <c r="F84" s="133" t="n">
        <v>2150</v>
      </c>
      <c r="G84" s="132" t="inlineStr">
        <is>
          <t>Normale</t>
        </is>
      </c>
    </row>
    <row r="85">
      <c r="B85" s="132" t="inlineStr">
        <is>
          <t>2026 T2</t>
        </is>
      </c>
      <c r="C85" s="131" t="n">
        <v>27</v>
      </c>
      <c r="D85" s="132" t="inlineStr">
        <is>
          <t>Toronto</t>
        </is>
      </c>
      <c r="E85" s="132" t="inlineStr">
        <is>
          <t>Payé</t>
        </is>
      </c>
      <c r="F85" s="133" t="n">
        <v>2160</v>
      </c>
      <c r="G85" s="132" t="inlineStr">
        <is>
          <t>Normale</t>
        </is>
      </c>
    </row>
    <row r="86">
      <c r="B86" s="132" t="inlineStr">
        <is>
          <t>2025 T3</t>
        </is>
      </c>
      <c r="C86" s="131" t="n">
        <v>29</v>
      </c>
      <c r="D86" s="132" t="inlineStr">
        <is>
          <t>Winnipeg</t>
        </is>
      </c>
      <c r="E86" s="132" t="inlineStr">
        <is>
          <t>Demandé</t>
        </is>
      </c>
      <c r="F86" s="133" t="n">
        <v>1640</v>
      </c>
      <c r="G86" s="132" t="inlineStr">
        <is>
          <t>Normale</t>
        </is>
      </c>
    </row>
    <row r="87">
      <c r="B87" s="132" t="inlineStr">
        <is>
          <t>2025 T4</t>
        </is>
      </c>
      <c r="C87" s="131" t="n">
        <v>29</v>
      </c>
      <c r="D87" s="132" t="inlineStr">
        <is>
          <t>Winnipeg</t>
        </is>
      </c>
      <c r="E87" s="132" t="inlineStr">
        <is>
          <t>Demandé</t>
        </is>
      </c>
      <c r="F87" s="133" t="n">
        <v>1620</v>
      </c>
      <c r="G87" s="132" t="inlineStr">
        <is>
          <t>Normale</t>
        </is>
      </c>
    </row>
    <row r="88">
      <c r="B88" s="132" t="inlineStr">
        <is>
          <t>2026 T1</t>
        </is>
      </c>
      <c r="C88" s="131" t="n">
        <v>29</v>
      </c>
      <c r="D88" s="132" t="inlineStr">
        <is>
          <t>Winnipeg</t>
        </is>
      </c>
      <c r="E88" s="132" t="inlineStr">
        <is>
          <t>Demandé</t>
        </is>
      </c>
      <c r="F88" s="133" t="n">
        <v>1650</v>
      </c>
      <c r="G88" s="132" t="inlineStr">
        <is>
          <t>Normale</t>
        </is>
      </c>
    </row>
    <row r="89">
      <c r="B89" s="132" t="inlineStr">
        <is>
          <t>2026 T2</t>
        </is>
      </c>
      <c r="C89" s="131" t="n">
        <v>29</v>
      </c>
      <c r="D89" s="132" t="inlineStr">
        <is>
          <t>Winnipeg</t>
        </is>
      </c>
      <c r="E89" s="132" t="inlineStr">
        <is>
          <t>Demandé</t>
        </is>
      </c>
      <c r="F89" s="133" t="n">
        <v>1660</v>
      </c>
      <c r="G89" s="132" t="inlineStr">
        <is>
          <t>Normale</t>
        </is>
      </c>
    </row>
    <row r="90">
      <c r="B90" s="132" t="inlineStr">
        <is>
          <t>2025 T3</t>
        </is>
      </c>
      <c r="C90" s="131" t="n">
        <v>29</v>
      </c>
      <c r="D90" s="132" t="inlineStr">
        <is>
          <t>Winnipeg</t>
        </is>
      </c>
      <c r="E90" s="132" t="inlineStr">
        <is>
          <t>Payé</t>
        </is>
      </c>
      <c r="F90" s="133" t="n">
        <v>1480</v>
      </c>
      <c r="G90" s="132" t="inlineStr">
        <is>
          <t>Normale</t>
        </is>
      </c>
    </row>
    <row r="91">
      <c r="B91" s="132" t="inlineStr">
        <is>
          <t>2025 T4</t>
        </is>
      </c>
      <c r="C91" s="131" t="n">
        <v>29</v>
      </c>
      <c r="D91" s="132" t="inlineStr">
        <is>
          <t>Winnipeg</t>
        </is>
      </c>
      <c r="E91" s="132" t="inlineStr">
        <is>
          <t>Payé</t>
        </is>
      </c>
      <c r="F91" s="133" t="n">
        <v>1510</v>
      </c>
      <c r="G91" s="132" t="inlineStr">
        <is>
          <t>Normale</t>
        </is>
      </c>
    </row>
    <row r="92">
      <c r="B92" s="132" t="inlineStr">
        <is>
          <t>2026 T1</t>
        </is>
      </c>
      <c r="C92" s="131" t="n">
        <v>29</v>
      </c>
      <c r="D92" s="132" t="inlineStr">
        <is>
          <t>Winnipeg</t>
        </is>
      </c>
      <c r="E92" s="132" t="inlineStr">
        <is>
          <t>Payé</t>
        </is>
      </c>
      <c r="F92" s="133" t="n">
        <v>1530</v>
      </c>
      <c r="G92" s="132" t="inlineStr">
        <is>
          <t>Normale</t>
        </is>
      </c>
    </row>
    <row r="93">
      <c r="B93" s="132" t="inlineStr">
        <is>
          <t>2026 T2</t>
        </is>
      </c>
      <c r="C93" s="131" t="n">
        <v>29</v>
      </c>
      <c r="D93" s="132" t="inlineStr">
        <is>
          <t>Winnipeg</t>
        </is>
      </c>
      <c r="E93" s="132" t="inlineStr">
        <is>
          <t>Payé</t>
        </is>
      </c>
      <c r="F93" s="133" t="n">
        <v>1550</v>
      </c>
      <c r="G93" s="132" t="inlineStr">
        <is>
          <t>Normale</t>
        </is>
      </c>
    </row>
    <row r="94">
      <c r="B94" s="132" t="inlineStr">
        <is>
          <t>2025 T3</t>
        </is>
      </c>
      <c r="C94" s="131" t="n">
        <v>30</v>
      </c>
      <c r="D94" s="132" t="inlineStr">
        <is>
          <t>Regina</t>
        </is>
      </c>
      <c r="E94" s="132" t="inlineStr">
        <is>
          <t>Demandé</t>
        </is>
      </c>
      <c r="F94" s="133" t="n">
        <v>1470</v>
      </c>
      <c r="G94" s="132" t="inlineStr">
        <is>
          <t>Normale</t>
        </is>
      </c>
    </row>
    <row r="95">
      <c r="B95" s="132" t="inlineStr">
        <is>
          <t>2025 T4</t>
        </is>
      </c>
      <c r="C95" s="131" t="n">
        <v>30</v>
      </c>
      <c r="D95" s="132" t="inlineStr">
        <is>
          <t>Regina</t>
        </is>
      </c>
      <c r="E95" s="132" t="inlineStr">
        <is>
          <t>Demandé</t>
        </is>
      </c>
      <c r="F95" s="133" t="n">
        <v>1490</v>
      </c>
      <c r="G95" s="132" t="inlineStr">
        <is>
          <t>Normale</t>
        </is>
      </c>
    </row>
    <row r="96">
      <c r="B96" s="132" t="inlineStr">
        <is>
          <t>2026 T1</t>
        </is>
      </c>
      <c r="C96" s="131" t="n">
        <v>30</v>
      </c>
      <c r="D96" s="132" t="inlineStr">
        <is>
          <t>Regina</t>
        </is>
      </c>
      <c r="E96" s="132" t="inlineStr">
        <is>
          <t>Demandé</t>
        </is>
      </c>
      <c r="F96" s="133" t="n">
        <v>1490</v>
      </c>
      <c r="G96" s="132" t="inlineStr">
        <is>
          <t>Normale</t>
        </is>
      </c>
    </row>
    <row r="97">
      <c r="B97" s="132" t="inlineStr">
        <is>
          <t>2026 T2</t>
        </is>
      </c>
      <c r="C97" s="131" t="n">
        <v>30</v>
      </c>
      <c r="D97" s="132" t="inlineStr">
        <is>
          <t>Regina</t>
        </is>
      </c>
      <c r="E97" s="132" t="inlineStr">
        <is>
          <t>Demandé</t>
        </is>
      </c>
      <c r="F97" s="133" t="n">
        <v>1480</v>
      </c>
      <c r="G97" s="132" t="inlineStr">
        <is>
          <t>Normale</t>
        </is>
      </c>
    </row>
    <row r="98">
      <c r="B98" s="132" t="inlineStr">
        <is>
          <t>2025 T3</t>
        </is>
      </c>
      <c r="C98" s="131" t="n">
        <v>30</v>
      </c>
      <c r="D98" s="132" t="inlineStr">
        <is>
          <t>Regina</t>
        </is>
      </c>
      <c r="E98" s="132" t="inlineStr">
        <is>
          <t>Payé</t>
        </is>
      </c>
      <c r="F98" s="133" t="n">
        <v>1460</v>
      </c>
      <c r="G98" s="132" t="inlineStr">
        <is>
          <t>Normale</t>
        </is>
      </c>
    </row>
    <row r="99">
      <c r="B99" s="132" t="inlineStr">
        <is>
          <t>2025 T4</t>
        </is>
      </c>
      <c r="C99" s="131" t="n">
        <v>30</v>
      </c>
      <c r="D99" s="132" t="inlineStr">
        <is>
          <t>Regina</t>
        </is>
      </c>
      <c r="E99" s="132" t="inlineStr">
        <is>
          <t>Payé</t>
        </is>
      </c>
      <c r="F99" s="133" t="n">
        <v>1480</v>
      </c>
      <c r="G99" s="132" t="inlineStr">
        <is>
          <t>Normale</t>
        </is>
      </c>
    </row>
    <row r="100">
      <c r="B100" s="132" t="inlineStr">
        <is>
          <t>2026 T1</t>
        </is>
      </c>
      <c r="C100" s="131" t="n">
        <v>30</v>
      </c>
      <c r="D100" s="132" t="inlineStr">
        <is>
          <t>Regina</t>
        </is>
      </c>
      <c r="E100" s="132" t="inlineStr">
        <is>
          <t>Payé</t>
        </is>
      </c>
      <c r="F100" s="133" t="n">
        <v>1510</v>
      </c>
      <c r="G100" s="132" t="inlineStr">
        <is>
          <t>Normale</t>
        </is>
      </c>
    </row>
    <row r="101">
      <c r="B101" s="132" t="inlineStr">
        <is>
          <t>2026 T2</t>
        </is>
      </c>
      <c r="C101" s="131" t="n">
        <v>30</v>
      </c>
      <c r="D101" s="132" t="inlineStr">
        <is>
          <t>Regina</t>
        </is>
      </c>
      <c r="E101" s="132" t="inlineStr">
        <is>
          <t>Payé</t>
        </is>
      </c>
      <c r="F101" s="133" t="n">
        <v>1580</v>
      </c>
      <c r="G101" s="132" t="inlineStr">
        <is>
          <t>À utiliser avec prudence</t>
        </is>
      </c>
    </row>
    <row r="102">
      <c r="B102" s="132" t="inlineStr">
        <is>
          <t>2025 T3</t>
        </is>
      </c>
      <c r="C102" s="131" t="n">
        <v>31</v>
      </c>
      <c r="D102" s="132" t="inlineStr">
        <is>
          <t>Saskatoon</t>
        </is>
      </c>
      <c r="E102" s="132" t="inlineStr">
        <is>
          <t>Demandé</t>
        </is>
      </c>
      <c r="F102" s="133" t="n">
        <v>1600</v>
      </c>
      <c r="G102" s="132" t="inlineStr">
        <is>
          <t>Normale</t>
        </is>
      </c>
    </row>
    <row r="103">
      <c r="B103" s="132" t="inlineStr">
        <is>
          <t>2025 T4</t>
        </is>
      </c>
      <c r="C103" s="131" t="n">
        <v>31</v>
      </c>
      <c r="D103" s="132" t="inlineStr">
        <is>
          <t>Saskatoon</t>
        </is>
      </c>
      <c r="E103" s="132" t="inlineStr">
        <is>
          <t>Demandé</t>
        </is>
      </c>
      <c r="F103" s="133" t="n">
        <v>1540</v>
      </c>
      <c r="G103" s="132" t="inlineStr">
        <is>
          <t>Normale</t>
        </is>
      </c>
    </row>
    <row r="104">
      <c r="B104" s="132" t="inlineStr">
        <is>
          <t>2026 T1</t>
        </is>
      </c>
      <c r="C104" s="131" t="n">
        <v>31</v>
      </c>
      <c r="D104" s="132" t="inlineStr">
        <is>
          <t>Saskatoon</t>
        </is>
      </c>
      <c r="E104" s="132" t="inlineStr">
        <is>
          <t>Demandé</t>
        </is>
      </c>
      <c r="F104" s="133" t="n">
        <v>1630</v>
      </c>
      <c r="G104" s="132" t="inlineStr">
        <is>
          <t>Normale</t>
        </is>
      </c>
    </row>
    <row r="105">
      <c r="B105" s="132" t="inlineStr">
        <is>
          <t>2026 T2</t>
        </is>
      </c>
      <c r="C105" s="131" t="n">
        <v>31</v>
      </c>
      <c r="D105" s="132" t="inlineStr">
        <is>
          <t>Saskatoon</t>
        </is>
      </c>
      <c r="E105" s="132" t="inlineStr">
        <is>
          <t>Demandé</t>
        </is>
      </c>
      <c r="F105" s="133" t="n">
        <v>1620</v>
      </c>
      <c r="G105" s="132" t="inlineStr">
        <is>
          <t>Normale</t>
        </is>
      </c>
    </row>
    <row r="106">
      <c r="B106" s="132" t="inlineStr">
        <is>
          <t>2025 T3</t>
        </is>
      </c>
      <c r="C106" s="131" t="n">
        <v>31</v>
      </c>
      <c r="D106" s="132" t="inlineStr">
        <is>
          <t>Saskatoon</t>
        </is>
      </c>
      <c r="E106" s="132" t="inlineStr">
        <is>
          <t>Payé</t>
        </is>
      </c>
      <c r="F106" s="133" t="n">
        <v>1460</v>
      </c>
      <c r="G106" s="132" t="inlineStr">
        <is>
          <t>Normale</t>
        </is>
      </c>
    </row>
    <row r="107">
      <c r="B107" s="132" t="inlineStr">
        <is>
          <t>2025 T4</t>
        </is>
      </c>
      <c r="C107" s="131" t="n">
        <v>31</v>
      </c>
      <c r="D107" s="132" t="inlineStr">
        <is>
          <t>Saskatoon</t>
        </is>
      </c>
      <c r="E107" s="132" t="inlineStr">
        <is>
          <t>Payé</t>
        </is>
      </c>
      <c r="F107" s="133" t="n">
        <v>1460</v>
      </c>
      <c r="G107" s="132" t="inlineStr">
        <is>
          <t>Normale</t>
        </is>
      </c>
    </row>
    <row r="108">
      <c r="B108" s="132" t="inlineStr">
        <is>
          <t>2026 T1</t>
        </is>
      </c>
      <c r="C108" s="131" t="n">
        <v>31</v>
      </c>
      <c r="D108" s="132" t="inlineStr">
        <is>
          <t>Saskatoon</t>
        </is>
      </c>
      <c r="E108" s="132" t="inlineStr">
        <is>
          <t>Payé</t>
        </is>
      </c>
      <c r="F108" s="133" t="n">
        <v>1450</v>
      </c>
      <c r="G108" s="132" t="inlineStr">
        <is>
          <t>Normale</t>
        </is>
      </c>
    </row>
    <row r="109">
      <c r="B109" s="132" t="inlineStr">
        <is>
          <t>2026 T2</t>
        </is>
      </c>
      <c r="C109" s="131" t="n">
        <v>31</v>
      </c>
      <c r="D109" s="132" t="inlineStr">
        <is>
          <t>Saskatoon</t>
        </is>
      </c>
      <c r="E109" s="132" t="inlineStr">
        <is>
          <t>Payé</t>
        </is>
      </c>
      <c r="F109" s="133" t="n">
        <v>1470</v>
      </c>
      <c r="G109" s="132" t="inlineStr">
        <is>
          <t>Normale</t>
        </is>
      </c>
    </row>
    <row r="110">
      <c r="B110" s="132" t="inlineStr">
        <is>
          <t>2025 T3</t>
        </is>
      </c>
      <c r="C110" s="131" t="n">
        <v>32</v>
      </c>
      <c r="D110" s="132" t="inlineStr">
        <is>
          <t>Calgary</t>
        </is>
      </c>
      <c r="E110" s="132" t="inlineStr">
        <is>
          <t>Demandé</t>
        </is>
      </c>
      <c r="F110" s="133" t="n">
        <v>2010</v>
      </c>
      <c r="G110" s="132" t="inlineStr">
        <is>
          <t>À utiliser avec prudence</t>
        </is>
      </c>
    </row>
    <row r="111">
      <c r="B111" s="132" t="inlineStr">
        <is>
          <t>2025 T4</t>
        </is>
      </c>
      <c r="C111" s="131" t="n">
        <v>32</v>
      </c>
      <c r="D111" s="132" t="inlineStr">
        <is>
          <t>Calgary</t>
        </is>
      </c>
      <c r="E111" s="132" t="inlineStr">
        <is>
          <t>Demandé</t>
        </is>
      </c>
      <c r="F111" s="133" t="n">
        <v>1930</v>
      </c>
      <c r="G111" s="132" t="inlineStr">
        <is>
          <t>Normale</t>
        </is>
      </c>
    </row>
    <row r="112">
      <c r="B112" s="132" t="inlineStr">
        <is>
          <t>2026 T1</t>
        </is>
      </c>
      <c r="C112" s="131" t="n">
        <v>32</v>
      </c>
      <c r="D112" s="132" t="inlineStr">
        <is>
          <t>Calgary</t>
        </is>
      </c>
      <c r="E112" s="132" t="inlineStr">
        <is>
          <t>Demandé</t>
        </is>
      </c>
      <c r="F112" s="133" t="n">
        <v>1900</v>
      </c>
      <c r="G112" s="132" t="inlineStr">
        <is>
          <t>Normale</t>
        </is>
      </c>
    </row>
    <row r="113">
      <c r="B113" s="132" t="inlineStr">
        <is>
          <t>2026 T2</t>
        </is>
      </c>
      <c r="C113" s="131" t="n">
        <v>32</v>
      </c>
      <c r="D113" s="132" t="inlineStr">
        <is>
          <t>Calgary</t>
        </is>
      </c>
      <c r="E113" s="132" t="inlineStr">
        <is>
          <t>Demandé</t>
        </is>
      </c>
      <c r="F113" s="133" t="n">
        <v>1890</v>
      </c>
      <c r="G113" s="132" t="inlineStr">
        <is>
          <t>Normale</t>
        </is>
      </c>
    </row>
    <row r="114">
      <c r="B114" s="132" t="inlineStr">
        <is>
          <t>2025 T3</t>
        </is>
      </c>
      <c r="C114" s="131" t="n">
        <v>32</v>
      </c>
      <c r="D114" s="132" t="inlineStr">
        <is>
          <t>Calgary</t>
        </is>
      </c>
      <c r="E114" s="132" t="inlineStr">
        <is>
          <t>Payé</t>
        </is>
      </c>
      <c r="F114" s="133" t="n">
        <v>1810</v>
      </c>
      <c r="G114" s="132" t="inlineStr">
        <is>
          <t>Normale</t>
        </is>
      </c>
    </row>
    <row r="115">
      <c r="B115" s="132" t="inlineStr">
        <is>
          <t>2025 T4</t>
        </is>
      </c>
      <c r="C115" s="131" t="n">
        <v>32</v>
      </c>
      <c r="D115" s="132" t="inlineStr">
        <is>
          <t>Calgary</t>
        </is>
      </c>
      <c r="E115" s="132" t="inlineStr">
        <is>
          <t>Payé</t>
        </is>
      </c>
      <c r="F115" s="133" t="n">
        <v>1880</v>
      </c>
      <c r="G115" s="132" t="inlineStr">
        <is>
          <t>Normale</t>
        </is>
      </c>
    </row>
    <row r="116">
      <c r="B116" s="132" t="inlineStr">
        <is>
          <t>2026 T1</t>
        </is>
      </c>
      <c r="C116" s="131" t="n">
        <v>32</v>
      </c>
      <c r="D116" s="132" t="inlineStr">
        <is>
          <t>Calgary</t>
        </is>
      </c>
      <c r="E116" s="132" t="inlineStr">
        <is>
          <t>Payé</t>
        </is>
      </c>
      <c r="F116" s="133" t="n">
        <v>1940</v>
      </c>
      <c r="G116" s="132" t="inlineStr">
        <is>
          <t>Normale</t>
        </is>
      </c>
    </row>
    <row r="117">
      <c r="B117" s="132" t="inlineStr">
        <is>
          <t>2026 T2</t>
        </is>
      </c>
      <c r="C117" s="131" t="n">
        <v>32</v>
      </c>
      <c r="D117" s="132" t="inlineStr">
        <is>
          <t>Calgary</t>
        </is>
      </c>
      <c r="E117" s="132" t="inlineStr">
        <is>
          <t>Payé</t>
        </is>
      </c>
      <c r="F117" s="133" t="n">
        <v>1930</v>
      </c>
      <c r="G117" s="132" t="inlineStr">
        <is>
          <t>Normale</t>
        </is>
      </c>
    </row>
    <row r="118">
      <c r="B118" s="132" t="inlineStr">
        <is>
          <t>2025 T3</t>
        </is>
      </c>
      <c r="C118" s="131" t="n">
        <v>33</v>
      </c>
      <c r="D118" s="132" t="inlineStr">
        <is>
          <t>Edmonton</t>
        </is>
      </c>
      <c r="E118" s="132" t="inlineStr">
        <is>
          <t>Demandé</t>
        </is>
      </c>
      <c r="F118" s="133" t="n">
        <v>1640</v>
      </c>
      <c r="G118" s="132" t="inlineStr">
        <is>
          <t>Normale</t>
        </is>
      </c>
    </row>
    <row r="119">
      <c r="B119" s="132" t="inlineStr">
        <is>
          <t>2025 T4</t>
        </is>
      </c>
      <c r="C119" s="131" t="n">
        <v>33</v>
      </c>
      <c r="D119" s="132" t="inlineStr">
        <is>
          <t>Edmonton</t>
        </is>
      </c>
      <c r="E119" s="132" t="inlineStr">
        <is>
          <t>Demandé</t>
        </is>
      </c>
      <c r="F119" s="133" t="n">
        <v>1620</v>
      </c>
      <c r="G119" s="132" t="inlineStr">
        <is>
          <t>Normale</t>
        </is>
      </c>
    </row>
    <row r="120">
      <c r="B120" s="132" t="inlineStr">
        <is>
          <t>2026 T1</t>
        </is>
      </c>
      <c r="C120" s="131" t="n">
        <v>33</v>
      </c>
      <c r="D120" s="132" t="inlineStr">
        <is>
          <t>Edmonton</t>
        </is>
      </c>
      <c r="E120" s="132" t="inlineStr">
        <is>
          <t>Demandé</t>
        </is>
      </c>
      <c r="F120" s="133" t="n">
        <v>1580</v>
      </c>
      <c r="G120" s="132" t="inlineStr">
        <is>
          <t>Normale</t>
        </is>
      </c>
    </row>
    <row r="121">
      <c r="B121" s="132" t="inlineStr">
        <is>
          <t>2026 T2</t>
        </is>
      </c>
      <c r="C121" s="131" t="n">
        <v>33</v>
      </c>
      <c r="D121" s="132" t="inlineStr">
        <is>
          <t>Edmonton</t>
        </is>
      </c>
      <c r="E121" s="132" t="inlineStr">
        <is>
          <t>Demandé</t>
        </is>
      </c>
      <c r="F121" s="133" t="n">
        <v>1570</v>
      </c>
      <c r="G121" s="132" t="inlineStr">
        <is>
          <t>Normale</t>
        </is>
      </c>
    </row>
    <row r="122">
      <c r="B122" s="132" t="inlineStr">
        <is>
          <t>2025 T3</t>
        </is>
      </c>
      <c r="C122" s="131" t="n">
        <v>33</v>
      </c>
      <c r="D122" s="132" t="inlineStr">
        <is>
          <t>Edmonton</t>
        </is>
      </c>
      <c r="E122" s="132" t="inlineStr">
        <is>
          <t>Payé</t>
        </is>
      </c>
      <c r="F122" s="133" t="n">
        <v>1530</v>
      </c>
      <c r="G122" s="132" t="inlineStr">
        <is>
          <t>Normale</t>
        </is>
      </c>
    </row>
    <row r="123">
      <c r="B123" s="132" t="inlineStr">
        <is>
          <t>2025 T4</t>
        </is>
      </c>
      <c r="C123" s="131" t="n">
        <v>33</v>
      </c>
      <c r="D123" s="132" t="inlineStr">
        <is>
          <t>Edmonton</t>
        </is>
      </c>
      <c r="E123" s="132" t="inlineStr">
        <is>
          <t>Payé</t>
        </is>
      </c>
      <c r="F123" s="133" t="n">
        <v>1540</v>
      </c>
      <c r="G123" s="132" t="inlineStr">
        <is>
          <t>Normale</t>
        </is>
      </c>
    </row>
    <row r="124">
      <c r="B124" s="132" t="inlineStr">
        <is>
          <t>2026 T1</t>
        </is>
      </c>
      <c r="C124" s="131" t="n">
        <v>33</v>
      </c>
      <c r="D124" s="132" t="inlineStr">
        <is>
          <t>Edmonton</t>
        </is>
      </c>
      <c r="E124" s="132" t="inlineStr">
        <is>
          <t>Payé</t>
        </is>
      </c>
      <c r="F124" s="133" t="n">
        <v>1550</v>
      </c>
      <c r="G124" s="132" t="inlineStr">
        <is>
          <t>Normale</t>
        </is>
      </c>
    </row>
    <row r="125">
      <c r="B125" s="132" t="inlineStr">
        <is>
          <t>2026 T2</t>
        </is>
      </c>
      <c r="C125" s="131" t="n">
        <v>33</v>
      </c>
      <c r="D125" s="132" t="inlineStr">
        <is>
          <t>Edmonton</t>
        </is>
      </c>
      <c r="E125" s="132" t="inlineStr">
        <is>
          <t>Payé</t>
        </is>
      </c>
      <c r="F125" s="133" t="n">
        <v>1570</v>
      </c>
      <c r="G125" s="132" t="inlineStr">
        <is>
          <t>Normale</t>
        </is>
      </c>
    </row>
    <row r="126">
      <c r="B126" s="132" t="inlineStr">
        <is>
          <t>2025 T3</t>
        </is>
      </c>
      <c r="C126" s="131" t="n">
        <v>41</v>
      </c>
      <c r="D126" s="132" t="inlineStr">
        <is>
          <t>Vancouver</t>
        </is>
      </c>
      <c r="E126" s="132" t="inlineStr">
        <is>
          <t>Demandé</t>
        </is>
      </c>
      <c r="F126" s="133" t="n">
        <v>3190</v>
      </c>
      <c r="G126" s="132" t="inlineStr">
        <is>
          <t>Normale</t>
        </is>
      </c>
    </row>
    <row r="127">
      <c r="B127" s="132" t="inlineStr">
        <is>
          <t>2025 T4</t>
        </is>
      </c>
      <c r="C127" s="131" t="n">
        <v>41</v>
      </c>
      <c r="D127" s="132" t="inlineStr">
        <is>
          <t>Vancouver</t>
        </is>
      </c>
      <c r="E127" s="132" t="inlineStr">
        <is>
          <t>Demandé</t>
        </is>
      </c>
      <c r="F127" s="133" t="n">
        <v>3090</v>
      </c>
      <c r="G127" s="132" t="inlineStr">
        <is>
          <t>Normale</t>
        </is>
      </c>
    </row>
    <row r="128">
      <c r="B128" s="132" t="inlineStr">
        <is>
          <t>2026 T1</t>
        </is>
      </c>
      <c r="C128" s="131" t="n">
        <v>41</v>
      </c>
      <c r="D128" s="132" t="inlineStr">
        <is>
          <t>Vancouver</t>
        </is>
      </c>
      <c r="E128" s="132" t="inlineStr">
        <is>
          <t>Demandé</t>
        </is>
      </c>
      <c r="F128" s="133" t="n">
        <v>3100</v>
      </c>
      <c r="G128" s="132" t="inlineStr">
        <is>
          <t>Normale</t>
        </is>
      </c>
    </row>
    <row r="129">
      <c r="B129" s="132" t="inlineStr">
        <is>
          <t>2026 T2</t>
        </is>
      </c>
      <c r="C129" s="131" t="n">
        <v>41</v>
      </c>
      <c r="D129" s="132" t="inlineStr">
        <is>
          <t>Vancouver</t>
        </is>
      </c>
      <c r="E129" s="132" t="inlineStr">
        <is>
          <t>Demandé</t>
        </is>
      </c>
      <c r="F129" s="133" t="n">
        <v>3030</v>
      </c>
      <c r="G129" s="132" t="inlineStr">
        <is>
          <t>Normale</t>
        </is>
      </c>
    </row>
    <row r="130">
      <c r="B130" s="132" t="inlineStr">
        <is>
          <t>2025 T3</t>
        </is>
      </c>
      <c r="C130" s="131" t="n">
        <v>41</v>
      </c>
      <c r="D130" s="132" t="inlineStr">
        <is>
          <t>Vancouver</t>
        </is>
      </c>
      <c r="E130" s="132" t="inlineStr">
        <is>
          <t>Payé</t>
        </is>
      </c>
      <c r="F130" s="133" t="n">
        <v>2310</v>
      </c>
      <c r="G130" s="132" t="inlineStr">
        <is>
          <t>Normale</t>
        </is>
      </c>
    </row>
    <row r="131">
      <c r="B131" s="132" t="inlineStr">
        <is>
          <t>2025 T4</t>
        </is>
      </c>
      <c r="C131" s="131" t="n">
        <v>41</v>
      </c>
      <c r="D131" s="132" t="inlineStr">
        <is>
          <t>Vancouver</t>
        </is>
      </c>
      <c r="E131" s="132" t="inlineStr">
        <is>
          <t>Payé</t>
        </is>
      </c>
      <c r="F131" s="133" t="n">
        <v>2380</v>
      </c>
      <c r="G131" s="132" t="inlineStr">
        <is>
          <t>Normale</t>
        </is>
      </c>
    </row>
    <row r="132">
      <c r="B132" s="132" t="inlineStr">
        <is>
          <t>2026 T1</t>
        </is>
      </c>
      <c r="C132" s="131" t="n">
        <v>41</v>
      </c>
      <c r="D132" s="132" t="inlineStr">
        <is>
          <t>Vancouver</t>
        </is>
      </c>
      <c r="E132" s="132" t="inlineStr">
        <is>
          <t>Payé</t>
        </is>
      </c>
      <c r="F132" s="133" t="n">
        <v>2450</v>
      </c>
      <c r="G132" s="132" t="inlineStr">
        <is>
          <t>Normale</t>
        </is>
      </c>
    </row>
    <row r="133">
      <c r="B133" s="132" t="inlineStr">
        <is>
          <t>2026 T2</t>
        </is>
      </c>
      <c r="C133" s="131" t="n">
        <v>41</v>
      </c>
      <c r="D133" s="132" t="inlineStr">
        <is>
          <t>Vancouver</t>
        </is>
      </c>
      <c r="E133" s="132" t="inlineStr">
        <is>
          <t>Payé</t>
        </is>
      </c>
      <c r="F133" s="133" t="n">
        <v>2470</v>
      </c>
      <c r="G133" s="132" t="inlineStr">
        <is>
          <t>Normale</t>
        </is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4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E15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8" customWidth="1" min="2" max="2"/>
    <col width="36" customWidth="1" min="3" max="3"/>
    <col width="10" customWidth="1" min="4" max="4"/>
    <col width="10" customWidth="1" min="5" max="5"/>
  </cols>
  <sheetData>
    <row r="1" ht="34" customHeight="1">
      <c r="A1" s="1" t="n"/>
      <c r="B1" s="30" t="inlineStr">
        <is>
          <t>SCHL</t>
        </is>
      </c>
      <c r="C1" s="1" t="n"/>
      <c r="D1" s="1" t="n"/>
      <c r="E1" s="31">
        <f>HYPERLINK("#'Accueil'!A1","← Accueil")</f>
        <v/>
      </c>
    </row>
    <row r="2" ht="20" customHeight="1">
      <c r="A2" s="1" t="n"/>
      <c r="B2" s="3" t="inlineStr">
        <is>
          <t>SCHL, Rapport sur le marché locatif 2025 · logements reloués, hausses à échantillon constant</t>
        </is>
      </c>
      <c r="C2" s="1" t="n"/>
      <c r="D2" s="1" t="n"/>
      <c r="E2" s="1" t="n"/>
    </row>
    <row r="3" ht="5" customHeight="1">
      <c r="A3" s="4" t="n"/>
      <c r="B3" s="4" t="n"/>
      <c r="C3" s="4" t="n"/>
      <c r="D3" s="5" t="n"/>
      <c r="E3" s="5" t="n"/>
    </row>
    <row r="5" ht="30" customHeight="1">
      <c r="B5" s="46" t="inlineStr">
        <is>
          <t>Année</t>
        </is>
      </c>
      <c r="C5" s="46" t="inlineStr">
        <is>
          <t>Indicateur</t>
        </is>
      </c>
      <c r="D5" s="46" t="inlineStr">
        <is>
          <t>Valeur</t>
        </is>
      </c>
      <c r="E5" s="46" t="inlineStr">
        <is>
          <t>Unité</t>
        </is>
      </c>
    </row>
    <row r="6">
      <c r="B6" s="131" t="n">
        <v>2022</v>
      </c>
      <c r="C6" s="132" t="inlineStr">
        <is>
          <t>loyer_moyen_reloues_2ch</t>
        </is>
      </c>
      <c r="D6" s="134" t="n">
        <v>1235</v>
      </c>
      <c r="E6" s="132" t="inlineStr">
        <is>
          <t>dollars</t>
        </is>
      </c>
    </row>
    <row r="7">
      <c r="B7" s="131" t="n">
        <v>2023</v>
      </c>
      <c r="C7" s="132" t="inlineStr">
        <is>
          <t>loyer_moyen_reloues_2ch</t>
        </is>
      </c>
      <c r="D7" s="134" t="n">
        <v>1310</v>
      </c>
      <c r="E7" s="132" t="inlineStr">
        <is>
          <t>dollars</t>
        </is>
      </c>
    </row>
    <row r="8">
      <c r="B8" s="131" t="n">
        <v>2024</v>
      </c>
      <c r="C8" s="132" t="inlineStr">
        <is>
          <t>loyer_moyen_reloues_2ch</t>
        </is>
      </c>
      <c r="D8" s="134" t="n">
        <v>1407</v>
      </c>
      <c r="E8" s="132" t="inlineStr">
        <is>
          <t>dollars</t>
        </is>
      </c>
    </row>
    <row r="9">
      <c r="B9" s="131" t="n">
        <v>2025</v>
      </c>
      <c r="C9" s="132" t="inlineStr">
        <is>
          <t>loyer_moyen_reloues_2ch</t>
        </is>
      </c>
      <c r="D9" s="134" t="n">
        <v>1644</v>
      </c>
      <c r="E9" s="132" t="inlineStr">
        <is>
          <t>dollars</t>
        </is>
      </c>
    </row>
    <row r="10">
      <c r="B10" s="131" t="n">
        <v>2024</v>
      </c>
      <c r="C10" s="132" t="inlineStr">
        <is>
          <t>hausse_loyer_reloues_2ch</t>
        </is>
      </c>
      <c r="D10" s="134" t="n">
        <v>18.7</v>
      </c>
      <c r="E10" s="132" t="inlineStr">
        <is>
          <t>pct</t>
        </is>
      </c>
    </row>
    <row r="11">
      <c r="B11" s="131" t="n">
        <v>2025</v>
      </c>
      <c r="C11" s="132" t="inlineStr">
        <is>
          <t>hausse_loyer_reloues_2ch</t>
        </is>
      </c>
      <c r="D11" s="134" t="n">
        <v>17.2</v>
      </c>
      <c r="E11" s="132" t="inlineStr">
        <is>
          <t>pct</t>
        </is>
      </c>
    </row>
    <row r="12">
      <c r="B12" s="131" t="n">
        <v>2024</v>
      </c>
      <c r="C12" s="132" t="inlineStr">
        <is>
          <t>hausse_loyer_non_reloues_2ch</t>
        </is>
      </c>
      <c r="D12" s="134" t="n">
        <v>4.7</v>
      </c>
      <c r="E12" s="132" t="inlineStr">
        <is>
          <t>pct</t>
        </is>
      </c>
    </row>
    <row r="13">
      <c r="B13" s="131" t="n">
        <v>2025</v>
      </c>
      <c r="C13" s="132" t="inlineStr">
        <is>
          <t>hausse_loyer_non_reloues_2ch</t>
        </is>
      </c>
      <c r="D13" s="134" t="n">
        <v>6</v>
      </c>
      <c r="E13" s="132" t="inlineStr">
        <is>
          <t>pct</t>
        </is>
      </c>
    </row>
    <row r="14">
      <c r="B14" s="131" t="n">
        <v>2025</v>
      </c>
      <c r="C14" s="132" t="inlineStr">
        <is>
          <t>hausse_loyer_meme_echantillon_2ch</t>
        </is>
      </c>
      <c r="D14" s="134" t="n">
        <v>7.2</v>
      </c>
      <c r="E14" s="132" t="inlineStr">
        <is>
          <t>pct</t>
        </is>
      </c>
    </row>
    <row r="15">
      <c r="B15" s="131" t="n">
        <v>2025</v>
      </c>
      <c r="C15" s="132" t="inlineStr">
        <is>
          <t>taux_inoccupation_3plus</t>
        </is>
      </c>
      <c r="D15" s="134" t="n">
        <v>2.9</v>
      </c>
      <c r="E15" s="132" t="inlineStr">
        <is>
          <t>pct</t>
        </is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5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AQ850"/>
  <sheetViews>
    <sheetView showGridLines="0" tabSelected="0" workbookViewId="0">
      <selection activeCell="A1" sqref="A1"/>
    </sheetView>
  </sheetViews>
  <sheetFormatPr baseColWidth="8" defaultRowHeight="15"/>
  <cols>
    <col width="12" customWidth="1" min="1" max="1"/>
    <col width="34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  <col width="12" customWidth="1" min="18" max="18"/>
    <col width="12" customWidth="1" min="19" max="19"/>
    <col width="12" customWidth="1" min="20" max="20"/>
    <col width="12" customWidth="1" min="21" max="21"/>
    <col width="12" customWidth="1" min="22" max="22"/>
    <col width="12" customWidth="1" min="23" max="23"/>
    <col width="12" customWidth="1" min="24" max="24"/>
    <col width="12" customWidth="1" min="25" max="25"/>
    <col width="12" customWidth="1" min="26" max="26"/>
    <col width="12" customWidth="1" min="27" max="27"/>
    <col width="12" customWidth="1" min="28" max="28"/>
    <col width="12" customWidth="1" min="29" max="29"/>
    <col width="12" customWidth="1" min="30" max="30"/>
    <col width="12" customWidth="1" min="31" max="31"/>
    <col width="12" customWidth="1" min="32" max="32"/>
    <col width="12" customWidth="1" min="33" max="33"/>
    <col width="12" customWidth="1" min="34" max="34"/>
    <col width="12" customWidth="1" min="35" max="35"/>
    <col width="12" customWidth="1" min="36" max="36"/>
    <col width="12" customWidth="1" min="37" max="37"/>
    <col width="12" customWidth="1" min="38" max="38"/>
    <col width="12" customWidth="1" min="39" max="39"/>
    <col width="12" customWidth="1" min="40" max="40"/>
    <col width="12" customWidth="1" min="41" max="41"/>
    <col width="12" customWidth="1" min="42" max="42"/>
    <col width="12" customWidth="1" min="43" max="43"/>
    <col width="12" customWidth="1" min="44" max="44"/>
  </cols>
  <sheetData>
    <row r="1" ht="34" customHeight="1">
      <c r="A1" s="1" t="n"/>
      <c r="B1" s="30" t="inlineStr">
        <is>
          <t>Calculs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</row>
    <row r="2" ht="20" customHeight="1">
      <c r="A2" s="1" t="n"/>
      <c r="B2" s="3" t="inlineStr">
        <is>
          <t>Séries des graphiques et des cartes · les NA() masquent un point de graphique, aucune autre feuille ne les lit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  <c r="AA2" s="1" t="n"/>
      <c r="AB2" s="1" t="n"/>
      <c r="AC2" s="1" t="n"/>
      <c r="AD2" s="1" t="n"/>
      <c r="AE2" s="1" t="n"/>
      <c r="AF2" s="1" t="n"/>
      <c r="AG2" s="1" t="n"/>
      <c r="AH2" s="1" t="n"/>
      <c r="AI2" s="1" t="n"/>
      <c r="AJ2" s="1" t="n"/>
      <c r="AK2" s="1" t="n"/>
      <c r="AL2" s="1" t="n"/>
      <c r="AM2" s="1" t="n"/>
      <c r="AN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4" t="n"/>
      <c r="K3" s="4" t="n"/>
      <c r="L3" s="4" t="n"/>
      <c r="M3" s="4" t="n"/>
      <c r="N3" s="4" t="n"/>
      <c r="O3" s="4" t="n"/>
      <c r="P3" s="4" t="n"/>
      <c r="Q3" s="4" t="n"/>
      <c r="R3" s="4" t="n"/>
      <c r="S3" s="4" t="n"/>
      <c r="T3" s="4" t="n"/>
      <c r="U3" s="4" t="n"/>
      <c r="V3" s="4" t="n"/>
      <c r="W3" s="4" t="n"/>
      <c r="X3" s="4" t="n"/>
      <c r="Y3" s="5" t="n"/>
      <c r="Z3" s="5" t="n"/>
      <c r="AA3" s="5" t="n"/>
      <c r="AB3" s="5" t="n"/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</row>
    <row r="4">
      <c r="A4" s="46" t="inlineStr">
        <is>
          <t>Année</t>
        </is>
      </c>
      <c r="B4" s="46" t="inlineStr">
        <is>
          <t>Loyer (type choisi)</t>
        </is>
      </c>
      <c r="C4" s="46" t="inlineStr">
        <is>
          <t>IPC</t>
        </is>
      </c>
      <c r="D4" s="46" t="inlineStr">
        <is>
          <t>Loyer réel</t>
        </is>
      </c>
      <c r="E4" s="46" t="inlineStr">
        <is>
          <t>Période choisie</t>
        </is>
      </c>
      <c r="F4" s="46" t="inlineStr">
        <is>
          <t>Studio</t>
        </is>
      </c>
      <c r="G4" s="46" t="inlineStr">
        <is>
          <t>1 chambre</t>
        </is>
      </c>
      <c r="H4" s="46" t="inlineStr">
        <is>
          <t>2 chambres</t>
        </is>
      </c>
      <c r="I4" s="46" t="inlineStr">
        <is>
          <t>3 chambres</t>
        </is>
      </c>
      <c r="AJ4" s="135" t="inlineStr">
        <is>
          <t>Contours Canada</t>
        </is>
      </c>
      <c r="AM4" s="135" t="inlineStr">
        <is>
          <t>Contours Est</t>
        </is>
      </c>
      <c r="AP4" s="135" t="inlineStr">
        <is>
          <t>Contours Ouest</t>
        </is>
      </c>
    </row>
    <row r="5">
      <c r="A5" t="n">
        <v>1992</v>
      </c>
      <c r="B5" s="84">
        <f>SUMIFS(Loyers_Montant,Loyers_Annee,A5,Loyers_Type,TypeLog)</f>
        <v/>
      </c>
      <c r="C5" s="136">
        <f>INDEX(IPC_Valeur,MATCH(A5,IPC_Annee,0))</f>
        <v/>
      </c>
      <c r="D5" s="84">
        <f>B5*INDEX(IPC_Valeur,MATCH(Fin,IPC_Annee,0))/C5</f>
        <v/>
      </c>
      <c r="E5" s="84">
        <f>IF(AND(A5&gt;=Debut,A5&lt;=Fin),D5,NA())</f>
        <v/>
      </c>
      <c r="F5" s="84">
        <f>SUMIFS(Loyers_Montant,Loyers_Annee,A5,Loyers_Type,"Studio")</f>
        <v/>
      </c>
      <c r="G5" s="84">
        <f>SUMIFS(Loyers_Montant,Loyers_Annee,A5,Loyers_Type,"1 chambre")</f>
        <v/>
      </c>
      <c r="H5" s="84">
        <f>SUMIFS(Loyers_Montant,Loyers_Annee,A5,Loyers_Type,"2 chambres")</f>
        <v/>
      </c>
      <c r="I5" s="84">
        <f>SUMIFS(Loyers_Montant,Loyers_Annee,A5,Loyers_Type,"3 chambres")</f>
        <v/>
      </c>
      <c r="AJ5" t="n">
        <v>1393.78</v>
      </c>
      <c r="AK5" t="n">
        <v>1156.14</v>
      </c>
      <c r="AM5" t="n">
        <v>1245.04</v>
      </c>
      <c r="AN5" t="n">
        <v>1142.66</v>
      </c>
      <c r="AP5" t="n">
        <v>1172.37</v>
      </c>
      <c r="AQ5" t="n">
        <v>1045.43</v>
      </c>
    </row>
    <row r="6">
      <c r="A6" t="n">
        <v>1993</v>
      </c>
      <c r="B6" s="84">
        <f>SUMIFS(Loyers_Montant,Loyers_Annee,A6,Loyers_Type,TypeLog)</f>
        <v/>
      </c>
      <c r="C6" s="136">
        <f>INDEX(IPC_Valeur,MATCH(A6,IPC_Annee,0))</f>
        <v/>
      </c>
      <c r="D6" s="84">
        <f>B6*INDEX(IPC_Valeur,MATCH(Fin,IPC_Annee,0))/C6</f>
        <v/>
      </c>
      <c r="E6" s="84">
        <f>IF(AND(A6&gt;=Debut,A6&lt;=Fin),D6,NA())</f>
        <v/>
      </c>
      <c r="F6" s="84">
        <f>SUMIFS(Loyers_Montant,Loyers_Annee,A6,Loyers_Type,"Studio")</f>
        <v/>
      </c>
      <c r="G6" s="84">
        <f>SUMIFS(Loyers_Montant,Loyers_Annee,A6,Loyers_Type,"1 chambre")</f>
        <v/>
      </c>
      <c r="H6" s="84">
        <f>SUMIFS(Loyers_Montant,Loyers_Annee,A6,Loyers_Type,"2 chambres")</f>
        <v/>
      </c>
      <c r="I6" s="84">
        <f>SUMIFS(Loyers_Montant,Loyers_Annee,A6,Loyers_Type,"3 chambres")</f>
        <v/>
      </c>
      <c r="AJ6" t="n">
        <v>1349.61</v>
      </c>
      <c r="AK6" t="n">
        <v>1170.63</v>
      </c>
      <c r="AM6" t="n">
        <v>1241.77</v>
      </c>
      <c r="AN6" t="n">
        <v>1136.86</v>
      </c>
      <c r="AP6" t="n">
        <v>1128.2</v>
      </c>
      <c r="AQ6" t="n">
        <v>1059.92</v>
      </c>
    </row>
    <row r="7">
      <c r="A7" t="n">
        <v>1994</v>
      </c>
      <c r="B7" s="84">
        <f>SUMIFS(Loyers_Montant,Loyers_Annee,A7,Loyers_Type,TypeLog)</f>
        <v/>
      </c>
      <c r="C7" s="136">
        <f>INDEX(IPC_Valeur,MATCH(A7,IPC_Annee,0))</f>
        <v/>
      </c>
      <c r="D7" s="84">
        <f>B7*INDEX(IPC_Valeur,MATCH(Fin,IPC_Annee,0))/C7</f>
        <v/>
      </c>
      <c r="E7" s="84">
        <f>IF(AND(A7&gt;=Debut,A7&lt;=Fin),D7,NA())</f>
        <v/>
      </c>
      <c r="F7" s="84">
        <f>SUMIFS(Loyers_Montant,Loyers_Annee,A7,Loyers_Type,"Studio")</f>
        <v/>
      </c>
      <c r="G7" s="84">
        <f>SUMIFS(Loyers_Montant,Loyers_Annee,A7,Loyers_Type,"1 chambre")</f>
        <v/>
      </c>
      <c r="H7" s="84">
        <f>SUMIFS(Loyers_Montant,Loyers_Annee,A7,Loyers_Type,"2 chambres")</f>
        <v/>
      </c>
      <c r="I7" s="84">
        <f>SUMIFS(Loyers_Montant,Loyers_Annee,A7,Loyers_Type,"3 chambres")</f>
        <v/>
      </c>
      <c r="AJ7" t="n">
        <v>1349.28</v>
      </c>
      <c r="AK7" t="n">
        <v>1199.72</v>
      </c>
      <c r="AM7" t="n">
        <v>1238.98</v>
      </c>
      <c r="AN7" t="n">
        <v>1138.5</v>
      </c>
      <c r="AP7" t="n">
        <v>1124.66</v>
      </c>
      <c r="AQ7" t="n">
        <v>1072.01</v>
      </c>
    </row>
    <row r="8">
      <c r="A8" t="n">
        <v>1995</v>
      </c>
      <c r="B8" s="84">
        <f>SUMIFS(Loyers_Montant,Loyers_Annee,A8,Loyers_Type,TypeLog)</f>
        <v/>
      </c>
      <c r="C8" s="136">
        <f>INDEX(IPC_Valeur,MATCH(A8,IPC_Annee,0))</f>
        <v/>
      </c>
      <c r="D8" s="84">
        <f>B8*INDEX(IPC_Valeur,MATCH(Fin,IPC_Annee,0))/C8</f>
        <v/>
      </c>
      <c r="E8" s="84">
        <f>IF(AND(A8&gt;=Debut,A8&lt;=Fin),D8,NA())</f>
        <v/>
      </c>
      <c r="F8" s="84">
        <f>SUMIFS(Loyers_Montant,Loyers_Annee,A8,Loyers_Type,"Studio")</f>
        <v/>
      </c>
      <c r="G8" s="84">
        <f>SUMIFS(Loyers_Montant,Loyers_Annee,A8,Loyers_Type,"1 chambre")</f>
        <v/>
      </c>
      <c r="H8" s="84">
        <f>SUMIFS(Loyers_Montant,Loyers_Annee,A8,Loyers_Type,"2 chambres")</f>
        <v/>
      </c>
      <c r="I8" s="84">
        <f>SUMIFS(Loyers_Montant,Loyers_Annee,A8,Loyers_Type,"3 chambres")</f>
        <v/>
      </c>
      <c r="AJ8" t="n">
        <v>1321.37</v>
      </c>
      <c r="AK8" t="n">
        <v>1267.09</v>
      </c>
      <c r="AM8" t="n">
        <v>1240.46</v>
      </c>
      <c r="AN8" t="n">
        <v>1136.45</v>
      </c>
      <c r="AP8" t="n">
        <v>1128.15</v>
      </c>
      <c r="AQ8" t="n">
        <v>1079.07</v>
      </c>
    </row>
    <row r="9">
      <c r="A9" t="n">
        <v>1996</v>
      </c>
      <c r="B9" s="84">
        <f>SUMIFS(Loyers_Montant,Loyers_Annee,A9,Loyers_Type,TypeLog)</f>
        <v/>
      </c>
      <c r="C9" s="136">
        <f>INDEX(IPC_Valeur,MATCH(A9,IPC_Annee,0))</f>
        <v/>
      </c>
      <c r="D9" s="84">
        <f>B9*INDEX(IPC_Valeur,MATCH(Fin,IPC_Annee,0))/C9</f>
        <v/>
      </c>
      <c r="E9" s="84">
        <f>IF(AND(A9&gt;=Debut,A9&lt;=Fin),D9,NA())</f>
        <v/>
      </c>
      <c r="F9" s="84">
        <f>SUMIFS(Loyers_Montant,Loyers_Annee,A9,Loyers_Type,"Studio")</f>
        <v/>
      </c>
      <c r="G9" s="84">
        <f>SUMIFS(Loyers_Montant,Loyers_Annee,A9,Loyers_Type,"1 chambre")</f>
        <v/>
      </c>
      <c r="H9" s="84">
        <f>SUMIFS(Loyers_Montant,Loyers_Annee,A9,Loyers_Type,"2 chambres")</f>
        <v/>
      </c>
      <c r="I9" s="84">
        <f>SUMIFS(Loyers_Montant,Loyers_Annee,A9,Loyers_Type,"3 chambres")</f>
        <v/>
      </c>
      <c r="AJ9" t="n">
        <v>1367.74</v>
      </c>
      <c r="AK9" t="n">
        <v>1367.65</v>
      </c>
      <c r="AM9" t="n">
        <v>1239.57</v>
      </c>
      <c r="AN9" t="n">
        <v>1132.74</v>
      </c>
      <c r="AP9" t="n">
        <v>1127.87</v>
      </c>
      <c r="AQ9" t="n">
        <v>1089.01</v>
      </c>
    </row>
    <row r="10">
      <c r="A10" t="n">
        <v>1997</v>
      </c>
      <c r="B10" s="84">
        <f>SUMIFS(Loyers_Montant,Loyers_Annee,A10,Loyers_Type,TypeLog)</f>
        <v/>
      </c>
      <c r="C10" s="136">
        <f>INDEX(IPC_Valeur,MATCH(A10,IPC_Annee,0))</f>
        <v/>
      </c>
      <c r="D10" s="84">
        <f>B10*INDEX(IPC_Valeur,MATCH(Fin,IPC_Annee,0))/C10</f>
        <v/>
      </c>
      <c r="E10" s="84">
        <f>IF(AND(A10&gt;=Debut,A10&lt;=Fin),D10,NA())</f>
        <v/>
      </c>
      <c r="F10" s="84">
        <f>SUMIFS(Loyers_Montant,Loyers_Annee,A10,Loyers_Type,"Studio")</f>
        <v/>
      </c>
      <c r="G10" s="84">
        <f>SUMIFS(Loyers_Montant,Loyers_Annee,A10,Loyers_Type,"1 chambre")</f>
        <v/>
      </c>
      <c r="H10" s="84">
        <f>SUMIFS(Loyers_Montant,Loyers_Annee,A10,Loyers_Type,"2 chambres")</f>
        <v/>
      </c>
      <c r="I10" s="84">
        <f>SUMIFS(Loyers_Montant,Loyers_Annee,A10,Loyers_Type,"3 chambres")</f>
        <v/>
      </c>
      <c r="AJ10" t="n">
        <v>1446.93</v>
      </c>
      <c r="AK10" t="n">
        <v>1337.51</v>
      </c>
      <c r="AM10" t="n">
        <v>1229.96</v>
      </c>
      <c r="AN10" t="n">
        <v>1120.34</v>
      </c>
      <c r="AP10" t="n">
        <v>1125.6</v>
      </c>
      <c r="AQ10" t="n">
        <v>1089.88</v>
      </c>
    </row>
    <row r="11">
      <c r="A11" t="n">
        <v>1998</v>
      </c>
      <c r="B11" s="84">
        <f>SUMIFS(Loyers_Montant,Loyers_Annee,A11,Loyers_Type,TypeLog)</f>
        <v/>
      </c>
      <c r="C11" s="136">
        <f>INDEX(IPC_Valeur,MATCH(A11,IPC_Annee,0))</f>
        <v/>
      </c>
      <c r="D11" s="84">
        <f>B11*INDEX(IPC_Valeur,MATCH(Fin,IPC_Annee,0))/C11</f>
        <v/>
      </c>
      <c r="E11" s="84">
        <f>IF(AND(A11&gt;=Debut,A11&lt;=Fin),D11,NA())</f>
        <v/>
      </c>
      <c r="F11" s="84">
        <f>SUMIFS(Loyers_Montant,Loyers_Annee,A11,Loyers_Type,"Studio")</f>
        <v/>
      </c>
      <c r="G11" s="84">
        <f>SUMIFS(Loyers_Montant,Loyers_Annee,A11,Loyers_Type,"1 chambre")</f>
        <v/>
      </c>
      <c r="H11" s="84">
        <f>SUMIFS(Loyers_Montant,Loyers_Annee,A11,Loyers_Type,"2 chambres")</f>
        <v/>
      </c>
      <c r="I11" s="84">
        <f>SUMIFS(Loyers_Montant,Loyers_Annee,A11,Loyers_Type,"3 chambres")</f>
        <v/>
      </c>
      <c r="AJ11" t="n">
        <v>1393.78</v>
      </c>
      <c r="AK11" t="n">
        <v>1156.14</v>
      </c>
      <c r="AM11" t="n">
        <v>1226.62</v>
      </c>
      <c r="AN11" t="n">
        <v>1120.84</v>
      </c>
      <c r="AP11" t="n">
        <v>1123.08</v>
      </c>
      <c r="AQ11" t="n">
        <v>1096.44</v>
      </c>
    </row>
    <row r="12">
      <c r="A12" t="n">
        <v>1999</v>
      </c>
      <c r="B12" s="84">
        <f>SUMIFS(Loyers_Montant,Loyers_Annee,A12,Loyers_Type,TypeLog)</f>
        <v/>
      </c>
      <c r="C12" s="136">
        <f>INDEX(IPC_Valeur,MATCH(A12,IPC_Annee,0))</f>
        <v/>
      </c>
      <c r="D12" s="84">
        <f>B12*INDEX(IPC_Valeur,MATCH(Fin,IPC_Annee,0))/C12</f>
        <v/>
      </c>
      <c r="E12" s="84">
        <f>IF(AND(A12&gt;=Debut,A12&lt;=Fin),D12,NA())</f>
        <v/>
      </c>
      <c r="F12" s="84">
        <f>SUMIFS(Loyers_Montant,Loyers_Annee,A12,Loyers_Type,"Studio")</f>
        <v/>
      </c>
      <c r="G12" s="84">
        <f>SUMIFS(Loyers_Montant,Loyers_Annee,A12,Loyers_Type,"1 chambre")</f>
        <v/>
      </c>
      <c r="H12" s="84">
        <f>SUMIFS(Loyers_Montant,Loyers_Annee,A12,Loyers_Type,"2 chambres")</f>
        <v/>
      </c>
      <c r="I12" s="84">
        <f>SUMIFS(Loyers_Montant,Loyers_Annee,A12,Loyers_Type,"3 chambres")</f>
        <v/>
      </c>
      <c r="AM12" t="n">
        <v>1227.07</v>
      </c>
      <c r="AN12" t="n">
        <v>1122.96</v>
      </c>
      <c r="AP12" t="n">
        <v>1118.7</v>
      </c>
      <c r="AQ12" t="n">
        <v>1115.73</v>
      </c>
    </row>
    <row r="13">
      <c r="A13" t="n">
        <v>2000</v>
      </c>
      <c r="B13" s="84">
        <f>SUMIFS(Loyers_Montant,Loyers_Annee,A13,Loyers_Type,TypeLog)</f>
        <v/>
      </c>
      <c r="C13" s="136">
        <f>INDEX(IPC_Valeur,MATCH(A13,IPC_Annee,0))</f>
        <v/>
      </c>
      <c r="D13" s="84">
        <f>B13*INDEX(IPC_Valeur,MATCH(Fin,IPC_Annee,0))/C13</f>
        <v/>
      </c>
      <c r="E13" s="84">
        <f>IF(AND(A13&gt;=Debut,A13&lt;=Fin),D13,NA())</f>
        <v/>
      </c>
      <c r="F13" s="84">
        <f>SUMIFS(Loyers_Montant,Loyers_Annee,A13,Loyers_Type,"Studio")</f>
        <v/>
      </c>
      <c r="G13" s="84">
        <f>SUMIFS(Loyers_Montant,Loyers_Annee,A13,Loyers_Type,"1 chambre")</f>
        <v/>
      </c>
      <c r="H13" s="84">
        <f>SUMIFS(Loyers_Montant,Loyers_Annee,A13,Loyers_Type,"2 chambres")</f>
        <v/>
      </c>
      <c r="I13" s="84">
        <f>SUMIFS(Loyers_Montant,Loyers_Annee,A13,Loyers_Type,"3 chambres")</f>
        <v/>
      </c>
      <c r="AJ13" t="n">
        <v>1367.74</v>
      </c>
      <c r="AK13" t="n">
        <v>1367.65</v>
      </c>
      <c r="AM13" t="n">
        <v>1225.8</v>
      </c>
      <c r="AN13" t="n">
        <v>1120.87</v>
      </c>
      <c r="AP13" t="n">
        <v>1115.9</v>
      </c>
      <c r="AQ13" t="n">
        <v>1115.39</v>
      </c>
    </row>
    <row r="14">
      <c r="A14" t="n">
        <v>2001</v>
      </c>
      <c r="B14" s="84">
        <f>SUMIFS(Loyers_Montant,Loyers_Annee,A14,Loyers_Type,TypeLog)</f>
        <v/>
      </c>
      <c r="C14" s="136">
        <f>INDEX(IPC_Valeur,MATCH(A14,IPC_Annee,0))</f>
        <v/>
      </c>
      <c r="D14" s="84">
        <f>B14*INDEX(IPC_Valeur,MATCH(Fin,IPC_Annee,0))/C14</f>
        <v/>
      </c>
      <c r="E14" s="84">
        <f>IF(AND(A14&gt;=Debut,A14&lt;=Fin),D14,NA())</f>
        <v/>
      </c>
      <c r="F14" s="84">
        <f>SUMIFS(Loyers_Montant,Loyers_Annee,A14,Loyers_Type,"Studio")</f>
        <v/>
      </c>
      <c r="G14" s="84">
        <f>SUMIFS(Loyers_Montant,Loyers_Annee,A14,Loyers_Type,"1 chambre")</f>
        <v/>
      </c>
      <c r="H14" s="84">
        <f>SUMIFS(Loyers_Montant,Loyers_Annee,A14,Loyers_Type,"2 chambres")</f>
        <v/>
      </c>
      <c r="I14" s="84">
        <f>SUMIFS(Loyers_Montant,Loyers_Annee,A14,Loyers_Type,"3 chambres")</f>
        <v/>
      </c>
      <c r="AJ14" t="n">
        <v>1321.37</v>
      </c>
      <c r="AK14" t="n">
        <v>1267.09</v>
      </c>
      <c r="AM14" t="n">
        <v>1227.09</v>
      </c>
      <c r="AN14" t="n">
        <v>1119.11</v>
      </c>
      <c r="AP14" t="n">
        <v>1114.72</v>
      </c>
      <c r="AQ14" t="n">
        <v>1124.13</v>
      </c>
    </row>
    <row r="15">
      <c r="A15" t="n">
        <v>2002</v>
      </c>
      <c r="B15" s="84">
        <f>SUMIFS(Loyers_Montant,Loyers_Annee,A15,Loyers_Type,TypeLog)</f>
        <v/>
      </c>
      <c r="C15" s="136">
        <f>INDEX(IPC_Valeur,MATCH(A15,IPC_Annee,0))</f>
        <v/>
      </c>
      <c r="D15" s="84">
        <f>B15*INDEX(IPC_Valeur,MATCH(Fin,IPC_Annee,0))/C15</f>
        <v/>
      </c>
      <c r="E15" s="84">
        <f>IF(AND(A15&gt;=Debut,A15&lt;=Fin),D15,NA())</f>
        <v/>
      </c>
      <c r="F15" s="84">
        <f>SUMIFS(Loyers_Montant,Loyers_Annee,A15,Loyers_Type,"Studio")</f>
        <v/>
      </c>
      <c r="G15" s="84">
        <f>SUMIFS(Loyers_Montant,Loyers_Annee,A15,Loyers_Type,"1 chambre")</f>
        <v/>
      </c>
      <c r="H15" s="84">
        <f>SUMIFS(Loyers_Montant,Loyers_Annee,A15,Loyers_Type,"2 chambres")</f>
        <v/>
      </c>
      <c r="I15" s="84">
        <f>SUMIFS(Loyers_Montant,Loyers_Annee,A15,Loyers_Type,"3 chambres")</f>
        <v/>
      </c>
      <c r="AJ15" t="n">
        <v>1349.28</v>
      </c>
      <c r="AK15" t="n">
        <v>1199.72</v>
      </c>
      <c r="AM15" t="n">
        <v>1224.47</v>
      </c>
      <c r="AN15" t="n">
        <v>1115.68</v>
      </c>
      <c r="AP15" t="n">
        <v>1110.97</v>
      </c>
      <c r="AQ15" t="n">
        <v>1126.67</v>
      </c>
    </row>
    <row r="16">
      <c r="A16" t="n">
        <v>2003</v>
      </c>
      <c r="B16" s="84">
        <f>SUMIFS(Loyers_Montant,Loyers_Annee,A16,Loyers_Type,TypeLog)</f>
        <v/>
      </c>
      <c r="C16" s="136">
        <f>INDEX(IPC_Valeur,MATCH(A16,IPC_Annee,0))</f>
        <v/>
      </c>
      <c r="D16" s="84">
        <f>B16*INDEX(IPC_Valeur,MATCH(Fin,IPC_Annee,0))/C16</f>
        <v/>
      </c>
      <c r="E16" s="84">
        <f>IF(AND(A16&gt;=Debut,A16&lt;=Fin),D16,NA())</f>
        <v/>
      </c>
      <c r="F16" s="84">
        <f>SUMIFS(Loyers_Montant,Loyers_Annee,A16,Loyers_Type,"Studio")</f>
        <v/>
      </c>
      <c r="G16" s="84">
        <f>SUMIFS(Loyers_Montant,Loyers_Annee,A16,Loyers_Type,"1 chambre")</f>
        <v/>
      </c>
      <c r="H16" s="84">
        <f>SUMIFS(Loyers_Montant,Loyers_Annee,A16,Loyers_Type,"2 chambres")</f>
        <v/>
      </c>
      <c r="I16" s="84">
        <f>SUMIFS(Loyers_Montant,Loyers_Annee,A16,Loyers_Type,"3 chambres")</f>
        <v/>
      </c>
      <c r="AJ16" t="n">
        <v>1349.61</v>
      </c>
      <c r="AK16" t="n">
        <v>1170.63</v>
      </c>
      <c r="AM16" t="n">
        <v>1219.71</v>
      </c>
      <c r="AN16" t="n">
        <v>1113.11</v>
      </c>
      <c r="AP16" t="n">
        <v>1112.39</v>
      </c>
      <c r="AQ16" t="n">
        <v>1129.44</v>
      </c>
    </row>
    <row r="17">
      <c r="A17" t="n">
        <v>2004</v>
      </c>
      <c r="B17" s="84">
        <f>SUMIFS(Loyers_Montant,Loyers_Annee,A17,Loyers_Type,TypeLog)</f>
        <v/>
      </c>
      <c r="C17" s="136">
        <f>INDEX(IPC_Valeur,MATCH(A17,IPC_Annee,0))</f>
        <v/>
      </c>
      <c r="D17" s="84">
        <f>B17*INDEX(IPC_Valeur,MATCH(Fin,IPC_Annee,0))/C17</f>
        <v/>
      </c>
      <c r="E17" s="84">
        <f>IF(AND(A17&gt;=Debut,A17&lt;=Fin),D17,NA())</f>
        <v/>
      </c>
      <c r="F17" s="84">
        <f>SUMIFS(Loyers_Montant,Loyers_Annee,A17,Loyers_Type,"Studio")</f>
        <v/>
      </c>
      <c r="G17" s="84">
        <f>SUMIFS(Loyers_Montant,Loyers_Annee,A17,Loyers_Type,"1 chambre")</f>
        <v/>
      </c>
      <c r="H17" s="84">
        <f>SUMIFS(Loyers_Montant,Loyers_Annee,A17,Loyers_Type,"2 chambres")</f>
        <v/>
      </c>
      <c r="I17" s="84">
        <f>SUMIFS(Loyers_Montant,Loyers_Annee,A17,Loyers_Type,"3 chambres")</f>
        <v/>
      </c>
      <c r="AJ17" t="n">
        <v>1255.25</v>
      </c>
      <c r="AK17" t="n">
        <v>1212.76</v>
      </c>
      <c r="AM17" t="n">
        <v>1218.7</v>
      </c>
      <c r="AN17" t="n">
        <v>1114.23</v>
      </c>
      <c r="AP17" t="n">
        <v>1110.47</v>
      </c>
      <c r="AQ17" t="n">
        <v>1132.15</v>
      </c>
    </row>
    <row r="18">
      <c r="A18" t="n">
        <v>2005</v>
      </c>
      <c r="B18" s="84">
        <f>SUMIFS(Loyers_Montant,Loyers_Annee,A18,Loyers_Type,TypeLog)</f>
        <v/>
      </c>
      <c r="C18" s="136">
        <f>INDEX(IPC_Valeur,MATCH(A18,IPC_Annee,0))</f>
        <v/>
      </c>
      <c r="D18" s="84">
        <f>B18*INDEX(IPC_Valeur,MATCH(Fin,IPC_Annee,0))/C18</f>
        <v/>
      </c>
      <c r="E18" s="84">
        <f>IF(AND(A18&gt;=Debut,A18&lt;=Fin),D18,NA())</f>
        <v/>
      </c>
      <c r="F18" s="84">
        <f>SUMIFS(Loyers_Montant,Loyers_Annee,A18,Loyers_Type,"Studio")</f>
        <v/>
      </c>
      <c r="G18" s="84">
        <f>SUMIFS(Loyers_Montant,Loyers_Annee,A18,Loyers_Type,"1 chambre")</f>
        <v/>
      </c>
      <c r="H18" s="84">
        <f>SUMIFS(Loyers_Montant,Loyers_Annee,A18,Loyers_Type,"2 chambres")</f>
        <v/>
      </c>
      <c r="I18" s="84">
        <f>SUMIFS(Loyers_Montant,Loyers_Annee,A18,Loyers_Type,"3 chambres")</f>
        <v/>
      </c>
      <c r="AJ18" t="n">
        <v>1259.93</v>
      </c>
      <c r="AK18" t="n">
        <v>1223.9</v>
      </c>
      <c r="AM18" t="n">
        <v>1213.24</v>
      </c>
      <c r="AN18" t="n">
        <v>1112.38</v>
      </c>
      <c r="AP18" t="n">
        <v>1107.66</v>
      </c>
      <c r="AQ18" t="n">
        <v>1131.49</v>
      </c>
    </row>
    <row r="19">
      <c r="A19" t="n">
        <v>2006</v>
      </c>
      <c r="B19" s="84">
        <f>SUMIFS(Loyers_Montant,Loyers_Annee,A19,Loyers_Type,TypeLog)</f>
        <v/>
      </c>
      <c r="C19" s="136">
        <f>INDEX(IPC_Valeur,MATCH(A19,IPC_Annee,0))</f>
        <v/>
      </c>
      <c r="D19" s="84">
        <f>B19*INDEX(IPC_Valeur,MATCH(Fin,IPC_Annee,0))/C19</f>
        <v/>
      </c>
      <c r="E19" s="84">
        <f>IF(AND(A19&gt;=Debut,A19&lt;=Fin),D19,NA())</f>
        <v/>
      </c>
      <c r="F19" s="84">
        <f>SUMIFS(Loyers_Montant,Loyers_Annee,A19,Loyers_Type,"Studio")</f>
        <v/>
      </c>
      <c r="G19" s="84">
        <f>SUMIFS(Loyers_Montant,Loyers_Annee,A19,Loyers_Type,"1 chambre")</f>
        <v/>
      </c>
      <c r="H19" s="84">
        <f>SUMIFS(Loyers_Montant,Loyers_Annee,A19,Loyers_Type,"2 chambres")</f>
        <v/>
      </c>
      <c r="I19" s="84">
        <f>SUMIFS(Loyers_Montant,Loyers_Annee,A19,Loyers_Type,"3 chambres")</f>
        <v/>
      </c>
      <c r="AJ19" t="n">
        <v>1254.43</v>
      </c>
      <c r="AK19" t="n">
        <v>1221.32</v>
      </c>
      <c r="AM19" t="n">
        <v>1209.51</v>
      </c>
      <c r="AN19" t="n">
        <v>1119.28</v>
      </c>
      <c r="AP19" t="n">
        <v>1107.6</v>
      </c>
      <c r="AQ19" t="n">
        <v>1146.23</v>
      </c>
    </row>
    <row r="20">
      <c r="A20" t="n">
        <v>2007</v>
      </c>
      <c r="B20" s="84">
        <f>SUMIFS(Loyers_Montant,Loyers_Annee,A20,Loyers_Type,TypeLog)</f>
        <v/>
      </c>
      <c r="C20" s="136">
        <f>INDEX(IPC_Valeur,MATCH(A20,IPC_Annee,0))</f>
        <v/>
      </c>
      <c r="D20" s="84">
        <f>B20*INDEX(IPC_Valeur,MATCH(Fin,IPC_Annee,0))/C20</f>
        <v/>
      </c>
      <c r="E20" s="84">
        <f>IF(AND(A20&gt;=Debut,A20&lt;=Fin),D20,NA())</f>
        <v/>
      </c>
      <c r="F20" s="84">
        <f>SUMIFS(Loyers_Montant,Loyers_Annee,A20,Loyers_Type,"Studio")</f>
        <v/>
      </c>
      <c r="G20" s="84">
        <f>SUMIFS(Loyers_Montant,Loyers_Annee,A20,Loyers_Type,"1 chambre")</f>
        <v/>
      </c>
      <c r="H20" s="84">
        <f>SUMIFS(Loyers_Montant,Loyers_Annee,A20,Loyers_Type,"2 chambres")</f>
        <v/>
      </c>
      <c r="I20" s="84">
        <f>SUMIFS(Loyers_Montant,Loyers_Annee,A20,Loyers_Type,"3 chambres")</f>
        <v/>
      </c>
      <c r="AJ20" t="n">
        <v>1251.04</v>
      </c>
      <c r="AK20" t="n">
        <v>1227.15</v>
      </c>
      <c r="AM20" t="n">
        <v>1204.58</v>
      </c>
      <c r="AN20" t="n">
        <v>1119.59</v>
      </c>
      <c r="AP20" t="n">
        <v>1103.64</v>
      </c>
      <c r="AQ20" t="n">
        <v>1148.98</v>
      </c>
    </row>
    <row r="21">
      <c r="A21" t="n">
        <v>2008</v>
      </c>
      <c r="B21" s="84">
        <f>SUMIFS(Loyers_Montant,Loyers_Annee,A21,Loyers_Type,TypeLog)</f>
        <v/>
      </c>
      <c r="C21" s="136">
        <f>INDEX(IPC_Valeur,MATCH(A21,IPC_Annee,0))</f>
        <v/>
      </c>
      <c r="D21" s="84">
        <f>B21*INDEX(IPC_Valeur,MATCH(Fin,IPC_Annee,0))/C21</f>
        <v/>
      </c>
      <c r="E21" s="84">
        <f>IF(AND(A21&gt;=Debut,A21&lt;=Fin),D21,NA())</f>
        <v/>
      </c>
      <c r="F21" s="84">
        <f>SUMIFS(Loyers_Montant,Loyers_Annee,A21,Loyers_Type,"Studio")</f>
        <v/>
      </c>
      <c r="G21" s="84">
        <f>SUMIFS(Loyers_Montant,Loyers_Annee,A21,Loyers_Type,"1 chambre")</f>
        <v/>
      </c>
      <c r="H21" s="84">
        <f>SUMIFS(Loyers_Montant,Loyers_Annee,A21,Loyers_Type,"2 chambres")</f>
        <v/>
      </c>
      <c r="I21" s="84">
        <f>SUMIFS(Loyers_Montant,Loyers_Annee,A21,Loyers_Type,"3 chambres")</f>
        <v/>
      </c>
      <c r="AJ21" t="n">
        <v>1256.06</v>
      </c>
      <c r="AK21" t="n">
        <v>1225.99</v>
      </c>
      <c r="AM21" t="n">
        <v>1195.72</v>
      </c>
      <c r="AN21" t="n">
        <v>1141.89</v>
      </c>
      <c r="AP21" t="n">
        <v>1099.95</v>
      </c>
      <c r="AQ21" t="n">
        <v>1156.38</v>
      </c>
    </row>
    <row r="22">
      <c r="A22" t="n">
        <v>2009</v>
      </c>
      <c r="B22" s="84">
        <f>SUMIFS(Loyers_Montant,Loyers_Annee,A22,Loyers_Type,TypeLog)</f>
        <v/>
      </c>
      <c r="C22" s="136">
        <f>INDEX(IPC_Valeur,MATCH(A22,IPC_Annee,0))</f>
        <v/>
      </c>
      <c r="D22" s="84">
        <f>B22*INDEX(IPC_Valeur,MATCH(Fin,IPC_Annee,0))/C22</f>
        <v/>
      </c>
      <c r="E22" s="84">
        <f>IF(AND(A22&gt;=Debut,A22&lt;=Fin),D22,NA())</f>
        <v/>
      </c>
      <c r="F22" s="84">
        <f>SUMIFS(Loyers_Montant,Loyers_Annee,A22,Loyers_Type,"Studio")</f>
        <v/>
      </c>
      <c r="G22" s="84">
        <f>SUMIFS(Loyers_Montant,Loyers_Annee,A22,Loyers_Type,"1 chambre")</f>
        <v/>
      </c>
      <c r="H22" s="84">
        <f>SUMIFS(Loyers_Montant,Loyers_Annee,A22,Loyers_Type,"2 chambres")</f>
        <v/>
      </c>
      <c r="I22" s="84">
        <f>SUMIFS(Loyers_Montant,Loyers_Annee,A22,Loyers_Type,"3 chambres")</f>
        <v/>
      </c>
      <c r="AJ22" t="n">
        <v>1257.63</v>
      </c>
      <c r="AK22" t="n">
        <v>1234.45</v>
      </c>
      <c r="AM22" t="n">
        <v>1189.16</v>
      </c>
      <c r="AN22" t="n">
        <v>1144.22</v>
      </c>
      <c r="AP22" t="n">
        <v>1102.31</v>
      </c>
      <c r="AQ22" t="n">
        <v>1157.55</v>
      </c>
    </row>
    <row r="23">
      <c r="A23" t="n">
        <v>2010</v>
      </c>
      <c r="B23" s="84">
        <f>SUMIFS(Loyers_Montant,Loyers_Annee,A23,Loyers_Type,TypeLog)</f>
        <v/>
      </c>
      <c r="C23" s="136">
        <f>INDEX(IPC_Valeur,MATCH(A23,IPC_Annee,0))</f>
        <v/>
      </c>
      <c r="D23" s="84">
        <f>B23*INDEX(IPC_Valeur,MATCH(Fin,IPC_Annee,0))/C23</f>
        <v/>
      </c>
      <c r="E23" s="84">
        <f>IF(AND(A23&gt;=Debut,A23&lt;=Fin),D23,NA())</f>
        <v/>
      </c>
      <c r="F23" s="84">
        <f>SUMIFS(Loyers_Montant,Loyers_Annee,A23,Loyers_Type,"Studio")</f>
        <v/>
      </c>
      <c r="G23" s="84">
        <f>SUMIFS(Loyers_Montant,Loyers_Annee,A23,Loyers_Type,"1 chambre")</f>
        <v/>
      </c>
      <c r="H23" s="84">
        <f>SUMIFS(Loyers_Montant,Loyers_Annee,A23,Loyers_Type,"2 chambres")</f>
        <v/>
      </c>
      <c r="I23" s="84">
        <f>SUMIFS(Loyers_Montant,Loyers_Annee,A23,Loyers_Type,"3 chambres")</f>
        <v/>
      </c>
      <c r="AJ23" t="n">
        <v>1249.92</v>
      </c>
      <c r="AK23" t="n">
        <v>1231.16</v>
      </c>
      <c r="AM23" t="n">
        <v>1183.47</v>
      </c>
      <c r="AN23" t="n">
        <v>1139.4</v>
      </c>
      <c r="AP23" t="n">
        <v>1101.36</v>
      </c>
      <c r="AQ23" t="n">
        <v>1161.99</v>
      </c>
    </row>
    <row r="24">
      <c r="A24" t="n">
        <v>2011</v>
      </c>
      <c r="B24" s="84">
        <f>SUMIFS(Loyers_Montant,Loyers_Annee,A24,Loyers_Type,TypeLog)</f>
        <v/>
      </c>
      <c r="C24" s="136">
        <f>INDEX(IPC_Valeur,MATCH(A24,IPC_Annee,0))</f>
        <v/>
      </c>
      <c r="D24" s="84">
        <f>B24*INDEX(IPC_Valeur,MATCH(Fin,IPC_Annee,0))/C24</f>
        <v/>
      </c>
      <c r="E24" s="84">
        <f>IF(AND(A24&gt;=Debut,A24&lt;=Fin),D24,NA())</f>
        <v/>
      </c>
      <c r="F24" s="84">
        <f>SUMIFS(Loyers_Montant,Loyers_Annee,A24,Loyers_Type,"Studio")</f>
        <v/>
      </c>
      <c r="G24" s="84">
        <f>SUMIFS(Loyers_Montant,Loyers_Annee,A24,Loyers_Type,"1 chambre")</f>
        <v/>
      </c>
      <c r="H24" s="84">
        <f>SUMIFS(Loyers_Montant,Loyers_Annee,A24,Loyers_Type,"2 chambres")</f>
        <v/>
      </c>
      <c r="I24" s="84">
        <f>SUMIFS(Loyers_Montant,Loyers_Annee,A24,Loyers_Type,"3 chambres")</f>
        <v/>
      </c>
      <c r="AJ24" t="n">
        <v>1247.18</v>
      </c>
      <c r="AK24" t="n">
        <v>1237.7</v>
      </c>
      <c r="AM24" t="n">
        <v>1180.34</v>
      </c>
      <c r="AN24" t="n">
        <v>1139.91</v>
      </c>
      <c r="AP24" t="n">
        <v>1146.33</v>
      </c>
      <c r="AQ24" t="n">
        <v>1256.94</v>
      </c>
    </row>
    <row r="25">
      <c r="A25" t="n">
        <v>2012</v>
      </c>
      <c r="B25" s="84">
        <f>SUMIFS(Loyers_Montant,Loyers_Annee,A25,Loyers_Type,TypeLog)</f>
        <v/>
      </c>
      <c r="C25" s="136">
        <f>INDEX(IPC_Valeur,MATCH(A25,IPC_Annee,0))</f>
        <v/>
      </c>
      <c r="D25" s="84">
        <f>B25*INDEX(IPC_Valeur,MATCH(Fin,IPC_Annee,0))/C25</f>
        <v/>
      </c>
      <c r="E25" s="84">
        <f>IF(AND(A25&gt;=Debut,A25&lt;=Fin),D25,NA())</f>
        <v/>
      </c>
      <c r="F25" s="84">
        <f>SUMIFS(Loyers_Montant,Loyers_Annee,A25,Loyers_Type,"Studio")</f>
        <v/>
      </c>
      <c r="G25" s="84">
        <f>SUMIFS(Loyers_Montant,Loyers_Annee,A25,Loyers_Type,"1 chambre")</f>
        <v/>
      </c>
      <c r="H25" s="84">
        <f>SUMIFS(Loyers_Montant,Loyers_Annee,A25,Loyers_Type,"2 chambres")</f>
        <v/>
      </c>
      <c r="I25" s="84">
        <f>SUMIFS(Loyers_Montant,Loyers_Annee,A25,Loyers_Type,"3 chambres")</f>
        <v/>
      </c>
      <c r="AJ25" t="n">
        <v>1253.72</v>
      </c>
      <c r="AK25" t="n">
        <v>1250.96</v>
      </c>
      <c r="AM25" t="n">
        <v>1186.02</v>
      </c>
      <c r="AN25" t="n">
        <v>1146.4</v>
      </c>
      <c r="AP25" t="n">
        <v>1185.33</v>
      </c>
      <c r="AQ25" t="n">
        <v>1240.31</v>
      </c>
    </row>
    <row r="26">
      <c r="A26" t="n">
        <v>2013</v>
      </c>
      <c r="B26" s="84">
        <f>SUMIFS(Loyers_Montant,Loyers_Annee,A26,Loyers_Type,TypeLog)</f>
        <v/>
      </c>
      <c r="C26" s="136">
        <f>INDEX(IPC_Valeur,MATCH(A26,IPC_Annee,0))</f>
        <v/>
      </c>
      <c r="D26" s="84">
        <f>B26*INDEX(IPC_Valeur,MATCH(Fin,IPC_Annee,0))/C26</f>
        <v/>
      </c>
      <c r="E26" s="84">
        <f>IF(AND(A26&gt;=Debut,A26&lt;=Fin),D26,NA())</f>
        <v/>
      </c>
      <c r="F26" s="84">
        <f>SUMIFS(Loyers_Montant,Loyers_Annee,A26,Loyers_Type,"Studio")</f>
        <v/>
      </c>
      <c r="G26" s="84">
        <f>SUMIFS(Loyers_Montant,Loyers_Annee,A26,Loyers_Type,"1 chambre")</f>
        <v/>
      </c>
      <c r="H26" s="84">
        <f>SUMIFS(Loyers_Montant,Loyers_Annee,A26,Loyers_Type,"2 chambres")</f>
        <v/>
      </c>
      <c r="I26" s="84">
        <f>SUMIFS(Loyers_Montant,Loyers_Annee,A26,Loyers_Type,"3 chambres")</f>
        <v/>
      </c>
      <c r="AJ26" t="n">
        <v>1247.01</v>
      </c>
      <c r="AK26" t="n">
        <v>1247.01</v>
      </c>
      <c r="AM26" t="n">
        <v>1183.93</v>
      </c>
      <c r="AN26" t="n">
        <v>1153.11</v>
      </c>
      <c r="AP26" t="n">
        <v>1225.52</v>
      </c>
      <c r="AQ26" t="n">
        <v>1226.8</v>
      </c>
    </row>
    <row r="27">
      <c r="A27" t="n">
        <v>2014</v>
      </c>
      <c r="B27" s="84">
        <f>SUMIFS(Loyers_Montant,Loyers_Annee,A27,Loyers_Type,TypeLog)</f>
        <v/>
      </c>
      <c r="C27" s="136">
        <f>INDEX(IPC_Valeur,MATCH(A27,IPC_Annee,0))</f>
        <v/>
      </c>
      <c r="D27" s="84">
        <f>B27*INDEX(IPC_Valeur,MATCH(Fin,IPC_Annee,0))/C27</f>
        <v/>
      </c>
      <c r="E27" s="84">
        <f>IF(AND(A27&gt;=Debut,A27&lt;=Fin),D27,NA())</f>
        <v/>
      </c>
      <c r="F27" s="84">
        <f>SUMIFS(Loyers_Montant,Loyers_Annee,A27,Loyers_Type,"Studio")</f>
        <v/>
      </c>
      <c r="G27" s="84">
        <f>SUMIFS(Loyers_Montant,Loyers_Annee,A27,Loyers_Type,"1 chambre")</f>
        <v/>
      </c>
      <c r="H27" s="84">
        <f>SUMIFS(Loyers_Montant,Loyers_Annee,A27,Loyers_Type,"2 chambres")</f>
        <v/>
      </c>
      <c r="I27" s="84">
        <f>SUMIFS(Loyers_Montant,Loyers_Annee,A27,Loyers_Type,"3 chambres")</f>
        <v/>
      </c>
      <c r="AJ27" t="n">
        <v>1235.85</v>
      </c>
      <c r="AK27" t="n">
        <v>1255.02</v>
      </c>
      <c r="AM27" t="n">
        <v>1186.88</v>
      </c>
      <c r="AN27" t="n">
        <v>1154.26</v>
      </c>
      <c r="AP27" t="n">
        <v>1172.37</v>
      </c>
      <c r="AQ27" t="n">
        <v>1045.43</v>
      </c>
    </row>
    <row r="28">
      <c r="A28" t="n">
        <v>2015</v>
      </c>
      <c r="B28" s="84">
        <f>SUMIFS(Loyers_Montant,Loyers_Annee,A28,Loyers_Type,TypeLog)</f>
        <v/>
      </c>
      <c r="C28" s="136">
        <f>INDEX(IPC_Valeur,MATCH(A28,IPC_Annee,0))</f>
        <v/>
      </c>
      <c r="D28" s="84">
        <f>B28*INDEX(IPC_Valeur,MATCH(Fin,IPC_Annee,0))/C28</f>
        <v/>
      </c>
      <c r="E28" s="84">
        <f>IF(AND(A28&gt;=Debut,A28&lt;=Fin),D28,NA())</f>
        <v/>
      </c>
      <c r="F28" s="84">
        <f>SUMIFS(Loyers_Montant,Loyers_Annee,A28,Loyers_Type,"Studio")</f>
        <v/>
      </c>
      <c r="G28" s="84">
        <f>SUMIFS(Loyers_Montant,Loyers_Annee,A28,Loyers_Type,"1 chambre")</f>
        <v/>
      </c>
      <c r="H28" s="84">
        <f>SUMIFS(Loyers_Montant,Loyers_Annee,A28,Loyers_Type,"2 chambres")</f>
        <v/>
      </c>
      <c r="I28" s="84">
        <f>SUMIFS(Loyers_Montant,Loyers_Annee,A28,Loyers_Type,"3 chambres")</f>
        <v/>
      </c>
      <c r="AJ28" t="n">
        <v>1242.47</v>
      </c>
      <c r="AK28" t="n">
        <v>1254.29</v>
      </c>
      <c r="AM28" t="n">
        <v>1186.44</v>
      </c>
      <c r="AN28" t="n">
        <v>1155.4</v>
      </c>
    </row>
    <row r="29">
      <c r="A29" t="n">
        <v>2016</v>
      </c>
      <c r="B29" s="84">
        <f>SUMIFS(Loyers_Montant,Loyers_Annee,A29,Loyers_Type,TypeLog)</f>
        <v/>
      </c>
      <c r="C29" s="136">
        <f>INDEX(IPC_Valeur,MATCH(A29,IPC_Annee,0))</f>
        <v/>
      </c>
      <c r="D29" s="84">
        <f>B29*INDEX(IPC_Valeur,MATCH(Fin,IPC_Annee,0))/C29</f>
        <v/>
      </c>
      <c r="E29" s="84">
        <f>IF(AND(A29&gt;=Debut,A29&lt;=Fin),D29,NA())</f>
        <v/>
      </c>
      <c r="F29" s="84">
        <f>SUMIFS(Loyers_Montant,Loyers_Annee,A29,Loyers_Type,"Studio")</f>
        <v/>
      </c>
      <c r="G29" s="84">
        <f>SUMIFS(Loyers_Montant,Loyers_Annee,A29,Loyers_Type,"1 chambre")</f>
        <v/>
      </c>
      <c r="H29" s="84">
        <f>SUMIFS(Loyers_Montant,Loyers_Annee,A29,Loyers_Type,"2 chambres")</f>
        <v/>
      </c>
      <c r="I29" s="84">
        <f>SUMIFS(Loyers_Montant,Loyers_Annee,A29,Loyers_Type,"3 chambres")</f>
        <v/>
      </c>
      <c r="AJ29" t="n">
        <v>1236.45</v>
      </c>
      <c r="AK29" t="n">
        <v>1257.29</v>
      </c>
      <c r="AM29" t="n">
        <v>1191.89</v>
      </c>
      <c r="AN29" t="n">
        <v>1157.56</v>
      </c>
      <c r="AP29" t="n">
        <v>1146.33</v>
      </c>
      <c r="AQ29" t="n">
        <v>1256.94</v>
      </c>
    </row>
    <row r="30">
      <c r="A30" t="n">
        <v>2017</v>
      </c>
      <c r="B30" s="84">
        <f>SUMIFS(Loyers_Montant,Loyers_Annee,A30,Loyers_Type,TypeLog)</f>
        <v/>
      </c>
      <c r="C30" s="136">
        <f>INDEX(IPC_Valeur,MATCH(A30,IPC_Annee,0))</f>
        <v/>
      </c>
      <c r="D30" s="84">
        <f>B30*INDEX(IPC_Valeur,MATCH(Fin,IPC_Annee,0))/C30</f>
        <v/>
      </c>
      <c r="E30" s="84">
        <f>IF(AND(A30&gt;=Debut,A30&lt;=Fin),D30,NA())</f>
        <v/>
      </c>
      <c r="F30" s="84">
        <f>SUMIFS(Loyers_Montant,Loyers_Annee,A30,Loyers_Type,"Studio")</f>
        <v/>
      </c>
      <c r="G30" s="84">
        <f>SUMIFS(Loyers_Montant,Loyers_Annee,A30,Loyers_Type,"1 chambre")</f>
        <v/>
      </c>
      <c r="H30" s="84">
        <f>SUMIFS(Loyers_Montant,Loyers_Annee,A30,Loyers_Type,"2 chambres")</f>
        <v/>
      </c>
      <c r="I30" s="84">
        <f>SUMIFS(Loyers_Montant,Loyers_Annee,A30,Loyers_Type,"3 chambres")</f>
        <v/>
      </c>
      <c r="AJ30" t="n">
        <v>1239.77</v>
      </c>
      <c r="AK30" t="n">
        <v>1262.98</v>
      </c>
      <c r="AM30" t="n">
        <v>1195.59</v>
      </c>
      <c r="AN30" t="n">
        <v>1156.22</v>
      </c>
      <c r="AP30" t="n">
        <v>1101.36</v>
      </c>
      <c r="AQ30" t="n">
        <v>1161.99</v>
      </c>
    </row>
    <row r="31">
      <c r="A31" t="n">
        <v>2018</v>
      </c>
      <c r="B31" s="84">
        <f>SUMIFS(Loyers_Montant,Loyers_Annee,A31,Loyers_Type,TypeLog)</f>
        <v/>
      </c>
      <c r="C31" s="136">
        <f>INDEX(IPC_Valeur,MATCH(A31,IPC_Annee,0))</f>
        <v/>
      </c>
      <c r="D31" s="84">
        <f>B31*INDEX(IPC_Valeur,MATCH(Fin,IPC_Annee,0))/C31</f>
        <v/>
      </c>
      <c r="E31" s="84">
        <f>IF(AND(A31&gt;=Debut,A31&lt;=Fin),D31,NA())</f>
        <v/>
      </c>
      <c r="F31" s="84">
        <f>SUMIFS(Loyers_Montant,Loyers_Annee,A31,Loyers_Type,"Studio")</f>
        <v/>
      </c>
      <c r="G31" s="84">
        <f>SUMIFS(Loyers_Montant,Loyers_Annee,A31,Loyers_Type,"1 chambre")</f>
        <v/>
      </c>
      <c r="H31" s="84">
        <f>SUMIFS(Loyers_Montant,Loyers_Annee,A31,Loyers_Type,"2 chambres")</f>
        <v/>
      </c>
      <c r="I31" s="84">
        <f>SUMIFS(Loyers_Montant,Loyers_Annee,A31,Loyers_Type,"3 chambres")</f>
        <v/>
      </c>
      <c r="AJ31" t="n">
        <v>1233.03</v>
      </c>
      <c r="AK31" t="n">
        <v>1263.25</v>
      </c>
      <c r="AM31" t="n">
        <v>1205.02</v>
      </c>
      <c r="AN31" t="n">
        <v>1164.12</v>
      </c>
      <c r="AP31" t="n">
        <v>1102.31</v>
      </c>
      <c r="AQ31" t="n">
        <v>1157.55</v>
      </c>
    </row>
    <row r="32">
      <c r="A32" t="n">
        <v>2019</v>
      </c>
      <c r="B32" s="84">
        <f>SUMIFS(Loyers_Montant,Loyers_Annee,A32,Loyers_Type,TypeLog)</f>
        <v/>
      </c>
      <c r="C32" s="136">
        <f>INDEX(IPC_Valeur,MATCH(A32,IPC_Annee,0))</f>
        <v/>
      </c>
      <c r="D32" s="84">
        <f>B32*INDEX(IPC_Valeur,MATCH(Fin,IPC_Annee,0))/C32</f>
        <v/>
      </c>
      <c r="E32" s="84">
        <f>IF(AND(A32&gt;=Debut,A32&lt;=Fin),D32,NA())</f>
        <v/>
      </c>
      <c r="F32" s="84">
        <f>SUMIFS(Loyers_Montant,Loyers_Annee,A32,Loyers_Type,"Studio")</f>
        <v/>
      </c>
      <c r="G32" s="84">
        <f>SUMIFS(Loyers_Montant,Loyers_Annee,A32,Loyers_Type,"1 chambre")</f>
        <v/>
      </c>
      <c r="H32" s="84">
        <f>SUMIFS(Loyers_Montant,Loyers_Annee,A32,Loyers_Type,"2 chambres")</f>
        <v/>
      </c>
      <c r="I32" s="84">
        <f>SUMIFS(Loyers_Montant,Loyers_Annee,A32,Loyers_Type,"3 chambres")</f>
        <v/>
      </c>
      <c r="AJ32" t="n">
        <v>1229.59</v>
      </c>
      <c r="AK32" t="n">
        <v>1271.12</v>
      </c>
      <c r="AM32" t="n">
        <v>1212.99</v>
      </c>
      <c r="AN32" t="n">
        <v>1163.73</v>
      </c>
      <c r="AP32" t="n">
        <v>1099.95</v>
      </c>
      <c r="AQ32" t="n">
        <v>1156.38</v>
      </c>
    </row>
    <row r="33">
      <c r="A33" t="n">
        <v>2020</v>
      </c>
      <c r="B33" s="84">
        <f>SUMIFS(Loyers_Montant,Loyers_Annee,A33,Loyers_Type,TypeLog)</f>
        <v/>
      </c>
      <c r="C33" s="136">
        <f>INDEX(IPC_Valeur,MATCH(A33,IPC_Annee,0))</f>
        <v/>
      </c>
      <c r="D33" s="84">
        <f>B33*INDEX(IPC_Valeur,MATCH(Fin,IPC_Annee,0))/C33</f>
        <v/>
      </c>
      <c r="E33" s="84">
        <f>IF(AND(A33&gt;=Debut,A33&lt;=Fin),D33,NA())</f>
        <v/>
      </c>
      <c r="F33" s="84">
        <f>SUMIFS(Loyers_Montant,Loyers_Annee,A33,Loyers_Type,"Studio")</f>
        <v/>
      </c>
      <c r="G33" s="84">
        <f>SUMIFS(Loyers_Montant,Loyers_Annee,A33,Loyers_Type,"1 chambre")</f>
        <v/>
      </c>
      <c r="H33" s="84">
        <f>SUMIFS(Loyers_Montant,Loyers_Annee,A33,Loyers_Type,"2 chambres")</f>
        <v/>
      </c>
      <c r="I33" s="84">
        <f>SUMIFS(Loyers_Montant,Loyers_Annee,A33,Loyers_Type,"3 chambres")</f>
        <v/>
      </c>
      <c r="AJ33" t="n">
        <v>1243.86</v>
      </c>
      <c r="AK33" t="n">
        <v>1273.45</v>
      </c>
      <c r="AM33" t="n">
        <v>1215.94</v>
      </c>
      <c r="AN33" t="n">
        <v>1161.38</v>
      </c>
      <c r="AP33" t="n">
        <v>1103.64</v>
      </c>
      <c r="AQ33" t="n">
        <v>1148.98</v>
      </c>
    </row>
    <row r="34">
      <c r="A34" t="n">
        <v>2021</v>
      </c>
      <c r="B34" s="84">
        <f>SUMIFS(Loyers_Montant,Loyers_Annee,A34,Loyers_Type,TypeLog)</f>
        <v/>
      </c>
      <c r="C34" s="136">
        <f>INDEX(IPC_Valeur,MATCH(A34,IPC_Annee,0))</f>
        <v/>
      </c>
      <c r="D34" s="84">
        <f>B34*INDEX(IPC_Valeur,MATCH(Fin,IPC_Annee,0))/C34</f>
        <v/>
      </c>
      <c r="E34" s="84">
        <f>IF(AND(A34&gt;=Debut,A34&lt;=Fin),D34,NA())</f>
        <v/>
      </c>
      <c r="F34" s="84">
        <f>SUMIFS(Loyers_Montant,Loyers_Annee,A34,Loyers_Type,"Studio")</f>
        <v/>
      </c>
      <c r="G34" s="84">
        <f>SUMIFS(Loyers_Montant,Loyers_Annee,A34,Loyers_Type,"1 chambre")</f>
        <v/>
      </c>
      <c r="H34" s="84">
        <f>SUMIFS(Loyers_Montant,Loyers_Annee,A34,Loyers_Type,"2 chambres")</f>
        <v/>
      </c>
      <c r="I34" s="84">
        <f>SUMIFS(Loyers_Montant,Loyers_Annee,A34,Loyers_Type,"3 chambres")</f>
        <v/>
      </c>
      <c r="AJ34" t="n">
        <v>1233.13</v>
      </c>
      <c r="AK34" t="n">
        <v>1279.73</v>
      </c>
      <c r="AM34" t="n">
        <v>1221.2</v>
      </c>
      <c r="AN34" t="n">
        <v>1166.97</v>
      </c>
      <c r="AP34" t="n">
        <v>1107.6</v>
      </c>
      <c r="AQ34" t="n">
        <v>1146.23</v>
      </c>
    </row>
    <row r="35">
      <c r="A35" t="n">
        <v>2022</v>
      </c>
      <c r="B35" s="84">
        <f>SUMIFS(Loyers_Montant,Loyers_Annee,A35,Loyers_Type,TypeLog)</f>
        <v/>
      </c>
      <c r="C35" s="136">
        <f>INDEX(IPC_Valeur,MATCH(A35,IPC_Annee,0))</f>
        <v/>
      </c>
      <c r="D35" s="84">
        <f>B35*INDEX(IPC_Valeur,MATCH(Fin,IPC_Annee,0))/C35</f>
        <v/>
      </c>
      <c r="E35" s="84">
        <f>IF(AND(A35&gt;=Debut,A35&lt;=Fin),D35,NA())</f>
        <v/>
      </c>
      <c r="F35" s="84">
        <f>SUMIFS(Loyers_Montant,Loyers_Annee,A35,Loyers_Type,"Studio")</f>
        <v/>
      </c>
      <c r="G35" s="84">
        <f>SUMIFS(Loyers_Montant,Loyers_Annee,A35,Loyers_Type,"1 chambre")</f>
        <v/>
      </c>
      <c r="H35" s="84">
        <f>SUMIFS(Loyers_Montant,Loyers_Annee,A35,Loyers_Type,"2 chambres")</f>
        <v/>
      </c>
      <c r="I35" s="84">
        <f>SUMIFS(Loyers_Montant,Loyers_Annee,A35,Loyers_Type,"3 chambres")</f>
        <v/>
      </c>
      <c r="AJ35" t="n">
        <v>1243.16</v>
      </c>
      <c r="AK35" t="n">
        <v>1287.28</v>
      </c>
      <c r="AM35" t="n">
        <v>1225.29</v>
      </c>
      <c r="AN35" t="n">
        <v>1166.51</v>
      </c>
      <c r="AP35" t="n">
        <v>1107.66</v>
      </c>
      <c r="AQ35" t="n">
        <v>1131.49</v>
      </c>
    </row>
    <row r="36">
      <c r="A36" t="n">
        <v>2023</v>
      </c>
      <c r="B36" s="84">
        <f>SUMIFS(Loyers_Montant,Loyers_Annee,A36,Loyers_Type,TypeLog)</f>
        <v/>
      </c>
      <c r="C36" s="136">
        <f>INDEX(IPC_Valeur,MATCH(A36,IPC_Annee,0))</f>
        <v/>
      </c>
      <c r="D36" s="84">
        <f>B36*INDEX(IPC_Valeur,MATCH(Fin,IPC_Annee,0))/C36</f>
        <v/>
      </c>
      <c r="E36" s="84">
        <f>IF(AND(A36&gt;=Debut,A36&lt;=Fin),D36,NA())</f>
        <v/>
      </c>
      <c r="F36" s="84">
        <f>SUMIFS(Loyers_Montant,Loyers_Annee,A36,Loyers_Type,"Studio")</f>
        <v/>
      </c>
      <c r="G36" s="84">
        <f>SUMIFS(Loyers_Montant,Loyers_Annee,A36,Loyers_Type,"1 chambre")</f>
        <v/>
      </c>
      <c r="H36" s="84">
        <f>SUMIFS(Loyers_Montant,Loyers_Annee,A36,Loyers_Type,"2 chambres")</f>
        <v/>
      </c>
      <c r="I36" s="84">
        <f>SUMIFS(Loyers_Montant,Loyers_Annee,A36,Loyers_Type,"3 chambres")</f>
        <v/>
      </c>
      <c r="AJ36" t="n">
        <v>1247.01</v>
      </c>
      <c r="AK36" t="n">
        <v>1278.82</v>
      </c>
      <c r="AM36" t="n">
        <v>1225.56</v>
      </c>
      <c r="AN36" t="n">
        <v>1159.89</v>
      </c>
      <c r="AP36" t="n">
        <v>1110.47</v>
      </c>
      <c r="AQ36" t="n">
        <v>1132.15</v>
      </c>
    </row>
    <row r="37">
      <c r="A37" t="n">
        <v>2024</v>
      </c>
      <c r="B37" s="84">
        <f>SUMIFS(Loyers_Montant,Loyers_Annee,A37,Loyers_Type,TypeLog)</f>
        <v/>
      </c>
      <c r="C37" s="136">
        <f>INDEX(IPC_Valeur,MATCH(A37,IPC_Annee,0))</f>
        <v/>
      </c>
      <c r="D37" s="84">
        <f>B37*INDEX(IPC_Valeur,MATCH(Fin,IPC_Annee,0))/C37</f>
        <v/>
      </c>
      <c r="E37" s="84">
        <f>IF(AND(A37&gt;=Debut,A37&lt;=Fin),D37,NA())</f>
        <v/>
      </c>
      <c r="F37" s="84">
        <f>SUMIFS(Loyers_Montant,Loyers_Annee,A37,Loyers_Type,"Studio")</f>
        <v/>
      </c>
      <c r="G37" s="84">
        <f>SUMIFS(Loyers_Montant,Loyers_Annee,A37,Loyers_Type,"1 chambre")</f>
        <v/>
      </c>
      <c r="H37" s="84">
        <f>SUMIFS(Loyers_Montant,Loyers_Annee,A37,Loyers_Type,"2 chambres")</f>
        <v/>
      </c>
      <c r="I37" s="84">
        <f>SUMIFS(Loyers_Montant,Loyers_Annee,A37,Loyers_Type,"3 chambres")</f>
        <v/>
      </c>
      <c r="AJ37" t="n">
        <v>1251.35</v>
      </c>
      <c r="AK37" t="n">
        <v>1291.93</v>
      </c>
      <c r="AM37" t="n">
        <v>1223.03</v>
      </c>
      <c r="AN37" t="n">
        <v>1153.56</v>
      </c>
      <c r="AP37" t="n">
        <v>1112.39</v>
      </c>
      <c r="AQ37" t="n">
        <v>1129.44</v>
      </c>
    </row>
    <row r="38">
      <c r="A38" t="n">
        <v>2025</v>
      </c>
      <c r="B38" s="84">
        <f>SUMIFS(Loyers_Montant,Loyers_Annee,A38,Loyers_Type,TypeLog)</f>
        <v/>
      </c>
      <c r="C38" s="136">
        <f>INDEX(IPC_Valeur,MATCH(A38,IPC_Annee,0))</f>
        <v/>
      </c>
      <c r="D38" s="84">
        <f>B38*INDEX(IPC_Valeur,MATCH(Fin,IPC_Annee,0))/C38</f>
        <v/>
      </c>
      <c r="E38" s="84">
        <f>IF(AND(A38&gt;=Debut,A38&lt;=Fin),D38,NA())</f>
        <v/>
      </c>
      <c r="F38" s="84">
        <f>SUMIFS(Loyers_Montant,Loyers_Annee,A38,Loyers_Type,"Studio")</f>
        <v/>
      </c>
      <c r="G38" s="84">
        <f>SUMIFS(Loyers_Montant,Loyers_Annee,A38,Loyers_Type,"1 chambre")</f>
        <v/>
      </c>
      <c r="H38" s="84">
        <f>SUMIFS(Loyers_Montant,Loyers_Annee,A38,Loyers_Type,"2 chambres")</f>
        <v/>
      </c>
      <c r="I38" s="84">
        <f>SUMIFS(Loyers_Montant,Loyers_Annee,A38,Loyers_Type,"3 chambres")</f>
        <v/>
      </c>
      <c r="AJ38" t="n">
        <v>1231.98</v>
      </c>
      <c r="AK38" t="n">
        <v>1282.71</v>
      </c>
      <c r="AM38" t="n">
        <v>1228.67</v>
      </c>
      <c r="AN38" t="n">
        <v>1155.32</v>
      </c>
      <c r="AP38" t="n">
        <v>1110.97</v>
      </c>
      <c r="AQ38" t="n">
        <v>1126.67</v>
      </c>
    </row>
    <row r="39">
      <c r="AJ39" t="n">
        <v>1242.84</v>
      </c>
      <c r="AK39" t="n">
        <v>1298.7</v>
      </c>
      <c r="AM39" t="n">
        <v>1229.75</v>
      </c>
      <c r="AN39" t="n">
        <v>1151.17</v>
      </c>
      <c r="AP39" t="n">
        <v>1114.72</v>
      </c>
      <c r="AQ39" t="n">
        <v>1124.13</v>
      </c>
    </row>
    <row r="40">
      <c r="AJ40" t="n">
        <v>1239</v>
      </c>
      <c r="AK40" t="n">
        <v>1313.94</v>
      </c>
      <c r="AM40" t="n">
        <v>1235.86</v>
      </c>
      <c r="AN40" t="n">
        <v>1145.04</v>
      </c>
      <c r="AP40" t="n">
        <v>1115.9</v>
      </c>
      <c r="AQ40" t="n">
        <v>1115.39</v>
      </c>
    </row>
    <row r="41">
      <c r="A41" s="46" t="inlineStr">
        <is>
          <t>Ville</t>
        </is>
      </c>
      <c r="B41" s="46" t="inlineStr">
        <is>
          <t>Loyer début</t>
        </is>
      </c>
      <c r="C41" s="46" t="inlineStr">
        <is>
          <t>Loyer fin</t>
        </is>
      </c>
      <c r="D41" s="46" t="inlineStr">
        <is>
          <t>Hausse</t>
        </is>
      </c>
      <c r="E41" s="46" t="inlineStr">
        <is>
          <t>Rang</t>
        </is>
      </c>
      <c r="F41" s="46" t="inlineStr">
        <is>
          <t>Ville (triée)</t>
        </is>
      </c>
      <c r="G41" s="46" t="inlineStr">
        <is>
          <t>Hausse (triée)</t>
        </is>
      </c>
      <c r="AJ41" t="n">
        <v>1247.22</v>
      </c>
      <c r="AK41" t="n">
        <v>1303.26</v>
      </c>
      <c r="AM41" t="n">
        <v>1237.85</v>
      </c>
      <c r="AN41" t="n">
        <v>1143.62</v>
      </c>
      <c r="AP41" t="n">
        <v>1118.7</v>
      </c>
      <c r="AQ41" t="n">
        <v>1115.73</v>
      </c>
    </row>
    <row r="42">
      <c r="A42" t="inlineStr">
        <is>
          <t>Montréal</t>
        </is>
      </c>
      <c r="B42" s="84">
        <f>INDEX(Villes_Loyers,MATCH(Debut,Villes_Annees,0),MATCH(A42,Villes_Noms,0))</f>
        <v/>
      </c>
      <c r="C42" s="84">
        <f>INDEX(Villes_Loyers,MATCH(Fin,Villes_Annees,0),MATCH(A42,Villes_Noms,0))</f>
        <v/>
      </c>
      <c r="D42" s="137">
        <f>C42/B42-1+ROW()/1E9</f>
        <v/>
      </c>
      <c r="E42">
        <f>RANK(D42,$D$42:$D$47,0)</f>
        <v/>
      </c>
      <c r="F42">
        <f>INDEX($A$42:$A$47,MATCH(1,$E$42:$E$47,0))</f>
        <v/>
      </c>
      <c r="G42" s="137">
        <f>INDEX($D$42:$D$47,MATCH(1,$E$42:$E$47,0))</f>
        <v/>
      </c>
      <c r="AJ42" t="n">
        <v>1247.55</v>
      </c>
      <c r="AK42" t="n">
        <v>1315.1</v>
      </c>
      <c r="AM42" t="n">
        <v>1245.25</v>
      </c>
      <c r="AN42" t="n">
        <v>1145.69</v>
      </c>
      <c r="AP42" t="n">
        <v>1123.08</v>
      </c>
      <c r="AQ42" t="n">
        <v>1096.44</v>
      </c>
    </row>
    <row r="43">
      <c r="A43" t="inlineStr">
        <is>
          <t>Québec</t>
        </is>
      </c>
      <c r="B43" s="84">
        <f>INDEX(Villes_Loyers,MATCH(Debut,Villes_Annees,0),MATCH(A43,Villes_Noms,0))</f>
        <v/>
      </c>
      <c r="C43" s="84">
        <f>INDEX(Villes_Loyers,MATCH(Fin,Villes_Annees,0),MATCH(A43,Villes_Noms,0))</f>
        <v/>
      </c>
      <c r="D43" s="137">
        <f>C43/B43-1+ROW()/1E9</f>
        <v/>
      </c>
      <c r="E43">
        <f>RANK(D43,$D$42:$D$47,0)</f>
        <v/>
      </c>
      <c r="F43">
        <f>INDEX($A$42:$A$47,MATCH(2,$E$42:$E$47,0))</f>
        <v/>
      </c>
      <c r="G43" s="137">
        <f>INDEX($D$42:$D$47,MATCH(2,$E$42:$E$47,0))</f>
        <v/>
      </c>
      <c r="AJ43" t="n">
        <v>1233</v>
      </c>
      <c r="AK43" t="n">
        <v>1312.16</v>
      </c>
      <c r="AM43" t="n">
        <v>1246.7</v>
      </c>
      <c r="AN43" t="n">
        <v>1145.2</v>
      </c>
      <c r="AP43" t="n">
        <v>1125.6</v>
      </c>
      <c r="AQ43" t="n">
        <v>1089.88</v>
      </c>
    </row>
    <row r="44">
      <c r="A44" t="inlineStr">
        <is>
          <t>Ottawa-Gatineau</t>
        </is>
      </c>
      <c r="B44" s="84">
        <f>INDEX(Villes_Loyers,MATCH(Debut,Villes_Annees,0),MATCH(A44,Villes_Noms,0))</f>
        <v/>
      </c>
      <c r="C44" s="84">
        <f>INDEX(Villes_Loyers,MATCH(Fin,Villes_Annees,0),MATCH(A44,Villes_Noms,0))</f>
        <v/>
      </c>
      <c r="D44" s="137">
        <f>C44/B44-1+ROW()/1E9</f>
        <v/>
      </c>
      <c r="E44">
        <f>RANK(D44,$D$42:$D$47,0)</f>
        <v/>
      </c>
      <c r="F44">
        <f>INDEX($A$42:$A$47,MATCH(3,$E$42:$E$47,0))</f>
        <v/>
      </c>
      <c r="G44" s="137">
        <f>INDEX($D$42:$D$47,MATCH(3,$E$42:$E$47,0))</f>
        <v/>
      </c>
      <c r="AJ44" t="n">
        <v>1231.14</v>
      </c>
      <c r="AK44" t="n">
        <v>1323.42</v>
      </c>
      <c r="AM44" t="n">
        <v>1245.04</v>
      </c>
      <c r="AN44" t="n">
        <v>1142.66</v>
      </c>
      <c r="AP44" t="n">
        <v>1127.87</v>
      </c>
      <c r="AQ44" t="n">
        <v>1089.01</v>
      </c>
    </row>
    <row r="45">
      <c r="A45" t="inlineStr">
        <is>
          <t>Toronto</t>
        </is>
      </c>
      <c r="B45" s="84">
        <f>INDEX(Villes_Loyers,MATCH(Debut,Villes_Annees,0),MATCH(A45,Villes_Noms,0))</f>
        <v/>
      </c>
      <c r="C45" s="84">
        <f>INDEX(Villes_Loyers,MATCH(Fin,Villes_Annees,0),MATCH(A45,Villes_Noms,0))</f>
        <v/>
      </c>
      <c r="D45" s="137">
        <f>C45/B45-1+ROW()/1E9</f>
        <v/>
      </c>
      <c r="E45">
        <f>RANK(D45,$D$42:$D$47,0)</f>
        <v/>
      </c>
      <c r="F45">
        <f>INDEX($A$42:$A$47,MATCH(4,$E$42:$E$47,0))</f>
        <v/>
      </c>
      <c r="G45" s="137">
        <f>INDEX($D$42:$D$47,MATCH(4,$E$42:$E$47,0))</f>
        <v/>
      </c>
      <c r="AJ45" t="n">
        <v>1241.82</v>
      </c>
      <c r="AK45" t="n">
        <v>1326.52</v>
      </c>
      <c r="AP45" t="n">
        <v>1128.15</v>
      </c>
      <c r="AQ45" t="n">
        <v>1079.07</v>
      </c>
    </row>
    <row r="46">
      <c r="A46" t="inlineStr">
        <is>
          <t>Calgary</t>
        </is>
      </c>
      <c r="B46" s="84">
        <f>INDEX(Villes_Loyers,MATCH(Debut,Villes_Annees,0),MATCH(A46,Villes_Noms,0))</f>
        <v/>
      </c>
      <c r="C46" s="84">
        <f>INDEX(Villes_Loyers,MATCH(Fin,Villes_Annees,0),MATCH(A46,Villes_Noms,0))</f>
        <v/>
      </c>
      <c r="D46" s="137">
        <f>C46/B46-1+ROW()/1E9</f>
        <v/>
      </c>
      <c r="E46">
        <f>RANK(D46,$D$42:$D$47,0)</f>
        <v/>
      </c>
      <c r="F46">
        <f>INDEX($A$42:$A$47,MATCH(5,$E$42:$E$47,0))</f>
        <v/>
      </c>
      <c r="G46" s="137">
        <f>INDEX($D$42:$D$47,MATCH(5,$E$42:$E$47,0))</f>
        <v/>
      </c>
      <c r="AJ46" t="n">
        <v>1236.97</v>
      </c>
      <c r="AK46" t="n">
        <v>1333.78</v>
      </c>
      <c r="AM46" t="n">
        <v>1285.12</v>
      </c>
      <c r="AN46" t="n">
        <v>1271.7</v>
      </c>
      <c r="AP46" t="n">
        <v>1124.66</v>
      </c>
      <c r="AQ46" t="n">
        <v>1072.01</v>
      </c>
    </row>
    <row r="47">
      <c r="A47" t="inlineStr">
        <is>
          <t>Vancouver</t>
        </is>
      </c>
      <c r="B47" s="84">
        <f>INDEX(Villes_Loyers,MATCH(Debut,Villes_Annees,0),MATCH(A47,Villes_Noms,0))</f>
        <v/>
      </c>
      <c r="C47" s="84">
        <f>INDEX(Villes_Loyers,MATCH(Fin,Villes_Annees,0),MATCH(A47,Villes_Noms,0))</f>
        <v/>
      </c>
      <c r="D47" s="137">
        <f>C47/B47-1+ROW()/1E9</f>
        <v/>
      </c>
      <c r="E47">
        <f>RANK(D47,$D$42:$D$47,0)</f>
        <v/>
      </c>
      <c r="F47">
        <f>INDEX($A$42:$A$47,MATCH(6,$E$42:$E$47,0))</f>
        <v/>
      </c>
      <c r="G47" s="137">
        <f>INDEX($D$42:$D$47,MATCH(6,$E$42:$E$47,0))</f>
        <v/>
      </c>
      <c r="AJ47" t="n">
        <v>1254.17</v>
      </c>
      <c r="AK47" t="n">
        <v>1343.6</v>
      </c>
      <c r="AM47" t="n">
        <v>1281.67</v>
      </c>
      <c r="AN47" t="n">
        <v>1268.28</v>
      </c>
      <c r="AP47" t="n">
        <v>1128.2</v>
      </c>
      <c r="AQ47" t="n">
        <v>1059.92</v>
      </c>
    </row>
    <row r="48">
      <c r="AJ48" t="n">
        <v>1246.37</v>
      </c>
      <c r="AK48" t="n">
        <v>1340.62</v>
      </c>
      <c r="AM48" t="n">
        <v>1286.56</v>
      </c>
      <c r="AN48" t="n">
        <v>1265.23</v>
      </c>
      <c r="AP48" t="n">
        <v>1081.89</v>
      </c>
      <c r="AQ48" t="n">
        <v>1078.59</v>
      </c>
    </row>
    <row r="49">
      <c r="AJ49" t="n">
        <v>1256.12</v>
      </c>
      <c r="AK49" t="n">
        <v>1355.71</v>
      </c>
      <c r="AM49" t="n">
        <v>1287.26</v>
      </c>
      <c r="AN49" t="n">
        <v>1244.78</v>
      </c>
      <c r="AP49" t="n">
        <v>1037.88</v>
      </c>
      <c r="AQ49" t="n">
        <v>1099.9</v>
      </c>
    </row>
    <row r="50">
      <c r="A50" s="46" t="inlineStr">
        <is>
          <t>Année</t>
        </is>
      </c>
      <c r="B50" s="46" t="inlineStr">
        <is>
          <t>Tous les locataires</t>
        </is>
      </c>
      <c r="C50" s="46" t="inlineStr">
        <is>
          <t>Logements reloués (SCHL)</t>
        </is>
      </c>
      <c r="AJ50" t="n">
        <v>1247.48</v>
      </c>
      <c r="AK50" t="n">
        <v>1371.84</v>
      </c>
      <c r="AM50" t="n">
        <v>1289.95</v>
      </c>
      <c r="AN50" t="n">
        <v>1238.26</v>
      </c>
      <c r="AP50" t="n">
        <v>1035.89</v>
      </c>
      <c r="AQ50" t="n">
        <v>1102.73</v>
      </c>
    </row>
    <row r="51">
      <c r="A51" t="inlineStr">
        <is>
          <t>2022</t>
        </is>
      </c>
      <c r="B51" s="84">
        <f>SUMIFS(Loyers_Montant,Loyers_Annee,2022,Loyers_Type,"2 chambres")</f>
        <v/>
      </c>
      <c r="C51" s="84">
        <f>SUMIFS(SCHL_Valeur,SCHL_Annee,2022,SCHL_Indic,"loyer_moyen_reloues_2ch")</f>
        <v/>
      </c>
      <c r="AJ51" t="n">
        <v>1255.41</v>
      </c>
      <c r="AK51" t="n">
        <v>1429.82</v>
      </c>
      <c r="AM51" t="n">
        <v>1291.55</v>
      </c>
      <c r="AN51" t="n">
        <v>1249.5</v>
      </c>
      <c r="AP51" t="n">
        <v>1033.84</v>
      </c>
      <c r="AQ51" t="n">
        <v>1102.05</v>
      </c>
    </row>
    <row r="52">
      <c r="A52" t="inlineStr">
        <is>
          <t>2023</t>
        </is>
      </c>
      <c r="B52" s="84">
        <f>SUMIFS(Loyers_Montant,Loyers_Annee,2023,Loyers_Type,"2 chambres")</f>
        <v/>
      </c>
      <c r="C52" s="84">
        <f>SUMIFS(SCHL_Valeur,SCHL_Annee,2023,SCHL_Indic,"loyer_moyen_reloues_2ch")</f>
        <v/>
      </c>
      <c r="AJ52" t="n">
        <v>1247.31</v>
      </c>
      <c r="AK52" t="n">
        <v>1437.14</v>
      </c>
      <c r="AM52" t="n">
        <v>1293.22</v>
      </c>
      <c r="AN52" t="n">
        <v>1247.05</v>
      </c>
      <c r="AP52" t="n">
        <v>1034.65</v>
      </c>
      <c r="AQ52" t="n">
        <v>1106.95</v>
      </c>
    </row>
    <row r="53">
      <c r="A53" t="inlineStr">
        <is>
          <t>2024</t>
        </is>
      </c>
      <c r="B53" s="84">
        <f>SUMIFS(Loyers_Montant,Loyers_Annee,2024,Loyers_Type,"2 chambres")</f>
        <v/>
      </c>
      <c r="C53" s="84">
        <f>SUMIFS(SCHL_Valeur,SCHL_Annee,2024,SCHL_Indic,"loyer_moyen_reloues_2ch")</f>
        <v/>
      </c>
      <c r="AJ53" t="n">
        <v>1231.78</v>
      </c>
      <c r="AK53" t="n">
        <v>1435.02</v>
      </c>
      <c r="AM53" t="n">
        <v>1294.84</v>
      </c>
      <c r="AN53" t="n">
        <v>1249.72</v>
      </c>
      <c r="AP53" t="n">
        <v>1039.31</v>
      </c>
      <c r="AQ53" t="n">
        <v>1107.24</v>
      </c>
    </row>
    <row r="54">
      <c r="A54" t="inlineStr">
        <is>
          <t>2025</t>
        </is>
      </c>
      <c r="B54" s="84">
        <f>SUMIFS(Loyers_Montant,Loyers_Annee,2025,Loyers_Type,"2 chambres")</f>
        <v/>
      </c>
      <c r="C54" s="84">
        <f>SUMIFS(SCHL_Valeur,SCHL_Annee,2025,SCHL_Indic,"loyer_moyen_reloues_2ch")</f>
        <v/>
      </c>
      <c r="AJ54" t="n">
        <v>1234.16</v>
      </c>
      <c r="AK54" t="n">
        <v>1457.48</v>
      </c>
      <c r="AM54" t="n">
        <v>1299.17</v>
      </c>
      <c r="AN54" t="n">
        <v>1251.66</v>
      </c>
      <c r="AP54" t="n">
        <v>1034.9</v>
      </c>
      <c r="AQ54" t="n">
        <v>1108.61</v>
      </c>
    </row>
    <row r="55">
      <c r="AJ55" t="n">
        <v>1297.55</v>
      </c>
      <c r="AK55" t="n">
        <v>1407.58</v>
      </c>
      <c r="AM55" t="n">
        <v>1296.47</v>
      </c>
      <c r="AN55" t="n">
        <v>1242.52</v>
      </c>
      <c r="AP55" t="n">
        <v>1038.51</v>
      </c>
      <c r="AQ55" t="n">
        <v>1113.19</v>
      </c>
    </row>
    <row r="56">
      <c r="AJ56" t="n">
        <v>1367.74</v>
      </c>
      <c r="AK56" t="n">
        <v>1367.65</v>
      </c>
      <c r="AM56" t="n">
        <v>1298.58</v>
      </c>
      <c r="AN56" t="n">
        <v>1244.88</v>
      </c>
      <c r="AP56" t="n">
        <v>1033.01</v>
      </c>
      <c r="AQ56" t="n">
        <v>1110.61</v>
      </c>
    </row>
    <row r="57">
      <c r="A57" s="46" t="inlineStr">
        <is>
          <t>Année</t>
        </is>
      </c>
      <c r="B57" s="46" t="inlineStr">
        <is>
          <t>Historique</t>
        </is>
      </c>
      <c r="C57" s="46" t="inlineStr">
        <is>
          <t>A · Tendance longue</t>
        </is>
      </c>
      <c r="D57" s="46" t="inlineStr">
        <is>
          <t>B · Locataires en place</t>
        </is>
      </c>
      <c r="E57" s="46" t="inlineStr">
        <is>
          <t>C · Rythme récent</t>
        </is>
      </c>
      <c r="AM57" t="n">
        <v>1298.62</v>
      </c>
      <c r="AN57" t="n">
        <v>1240.37</v>
      </c>
      <c r="AP57" t="n">
        <v>1029.63</v>
      </c>
      <c r="AQ57" t="n">
        <v>1116.44</v>
      </c>
    </row>
    <row r="58">
      <c r="A58" t="inlineStr">
        <is>
          <t>2015</t>
        </is>
      </c>
      <c r="B58" s="84">
        <f>IF(2015&lt;=2025,SUMIFS(Loyers_Montant,Loyers_Annee,2015,Loyers_Type,"2 chambres"),NA())</f>
        <v/>
      </c>
      <c r="C58" s="84">
        <f>IF(2015&gt;=2025,Scen_Base*(1+INDEX(Scen_Taux,1))^(2015-2025),NA())</f>
        <v/>
      </c>
      <c r="D58" s="84">
        <f>IF(2015&gt;=2025,Scen_Base*(1+INDEX(Scen_Taux,2))^(2015-2025),NA())</f>
        <v/>
      </c>
      <c r="E58" s="84">
        <f>IF(2015&gt;=2025,Scen_Base*(1+INDEX(Scen_Taux,3))^(2015-2025),NA())</f>
        <v/>
      </c>
      <c r="AJ58" t="n">
        <v>1216</v>
      </c>
      <c r="AK58" t="n">
        <v>1342.54</v>
      </c>
      <c r="AM58" t="n">
        <v>1304.93</v>
      </c>
      <c r="AN58" t="n">
        <v>1245.23</v>
      </c>
      <c r="AP58" t="n">
        <v>1031.01</v>
      </c>
      <c r="AQ58" t="n">
        <v>1118.47</v>
      </c>
    </row>
    <row r="59">
      <c r="A59" t="inlineStr">
        <is>
          <t>2016</t>
        </is>
      </c>
      <c r="B59" s="84">
        <f>IF(2016&lt;=2025,SUMIFS(Loyers_Montant,Loyers_Annee,2016,Loyers_Type,"2 chambres"),NA())</f>
        <v/>
      </c>
      <c r="C59" s="84">
        <f>IF(2016&gt;=2025,Scen_Base*(1+INDEX(Scen_Taux,1))^(2016-2025),NA())</f>
        <v/>
      </c>
      <c r="D59" s="84">
        <f>IF(2016&gt;=2025,Scen_Base*(1+INDEX(Scen_Taux,2))^(2016-2025),NA())</f>
        <v/>
      </c>
      <c r="E59" s="84">
        <f>IF(2016&gt;=2025,Scen_Base*(1+INDEX(Scen_Taux,3))^(2016-2025),NA())</f>
        <v/>
      </c>
      <c r="AJ59" t="n">
        <v>1218.23</v>
      </c>
      <c r="AK59" t="n">
        <v>1337.25</v>
      </c>
      <c r="AM59" t="n">
        <v>1306.44</v>
      </c>
      <c r="AN59" t="n">
        <v>1243.72</v>
      </c>
      <c r="AP59" t="n">
        <v>1031.52</v>
      </c>
      <c r="AQ59" t="n">
        <v>1115.2</v>
      </c>
    </row>
    <row r="60">
      <c r="A60" t="inlineStr">
        <is>
          <t>2017</t>
        </is>
      </c>
      <c r="B60" s="84">
        <f>IF(2017&lt;=2025,SUMIFS(Loyers_Montant,Loyers_Annee,2017,Loyers_Type,"2 chambres"),NA())</f>
        <v/>
      </c>
      <c r="C60" s="84">
        <f>IF(2017&gt;=2025,Scen_Base*(1+INDEX(Scen_Taux,1))^(2017-2025),NA())</f>
        <v/>
      </c>
      <c r="D60" s="84">
        <f>IF(2017&gt;=2025,Scen_Base*(1+INDEX(Scen_Taux,2))^(2017-2025),NA())</f>
        <v/>
      </c>
      <c r="E60" s="84">
        <f>IF(2017&gt;=2025,Scen_Base*(1+INDEX(Scen_Taux,3))^(2017-2025),NA())</f>
        <v/>
      </c>
      <c r="AJ60" t="n">
        <v>1212.56</v>
      </c>
      <c r="AK60" t="n">
        <v>1335.04</v>
      </c>
      <c r="AM60" t="n">
        <v>1306.16</v>
      </c>
      <c r="AN60" t="n">
        <v>1246.44</v>
      </c>
      <c r="AP60" t="n">
        <v>1034.65</v>
      </c>
      <c r="AQ60" t="n">
        <v>1115.28</v>
      </c>
    </row>
    <row r="61">
      <c r="A61" t="inlineStr">
        <is>
          <t>2018</t>
        </is>
      </c>
      <c r="B61" s="84">
        <f>IF(2018&lt;=2025,SUMIFS(Loyers_Montant,Loyers_Annee,2018,Loyers_Type,"2 chambres"),NA())</f>
        <v/>
      </c>
      <c r="C61" s="84">
        <f>IF(2018&gt;=2025,Scen_Base*(1+INDEX(Scen_Taux,1))^(2018-2025),NA())</f>
        <v/>
      </c>
      <c r="D61" s="84">
        <f>IF(2018&gt;=2025,Scen_Base*(1+INDEX(Scen_Taux,2))^(2018-2025),NA())</f>
        <v/>
      </c>
      <c r="E61" s="84">
        <f>IF(2018&gt;=2025,Scen_Base*(1+INDEX(Scen_Taux,3))^(2018-2025),NA())</f>
        <v/>
      </c>
      <c r="AJ61" t="n">
        <v>1224.14</v>
      </c>
      <c r="AK61" t="n">
        <v>1336.98</v>
      </c>
      <c r="AM61" t="n">
        <v>1309</v>
      </c>
      <c r="AN61" t="n">
        <v>1239.35</v>
      </c>
      <c r="AP61" t="n">
        <v>1032.22</v>
      </c>
      <c r="AQ61" t="n">
        <v>1117.4</v>
      </c>
    </row>
    <row r="62">
      <c r="A62" t="inlineStr">
        <is>
          <t>2019</t>
        </is>
      </c>
      <c r="B62" s="84">
        <f>IF(2019&lt;=2025,SUMIFS(Loyers_Montant,Loyers_Annee,2019,Loyers_Type,"2 chambres"),NA())</f>
        <v/>
      </c>
      <c r="C62" s="84">
        <f>IF(2019&gt;=2025,Scen_Base*(1+INDEX(Scen_Taux,1))^(2019-2025),NA())</f>
        <v/>
      </c>
      <c r="D62" s="84">
        <f>IF(2019&gt;=2025,Scen_Base*(1+INDEX(Scen_Taux,2))^(2019-2025),NA())</f>
        <v/>
      </c>
      <c r="E62" s="84">
        <f>IF(2019&gt;=2025,Scen_Base*(1+INDEX(Scen_Taux,3))^(2019-2025),NA())</f>
        <v/>
      </c>
      <c r="AJ62" t="n">
        <v>1208.92</v>
      </c>
      <c r="AK62" t="n">
        <v>1327.89</v>
      </c>
      <c r="AM62" t="n">
        <v>1312.87</v>
      </c>
      <c r="AN62" t="n">
        <v>1251.27</v>
      </c>
      <c r="AP62" t="n">
        <v>1036.21</v>
      </c>
      <c r="AQ62" t="n">
        <v>1123.74</v>
      </c>
    </row>
    <row r="63">
      <c r="A63" t="inlineStr">
        <is>
          <t>2020</t>
        </is>
      </c>
      <c r="B63" s="84">
        <f>IF(2020&lt;=2025,SUMIFS(Loyers_Montant,Loyers_Annee,2020,Loyers_Type,"2 chambres"),NA())</f>
        <v/>
      </c>
      <c r="C63" s="84">
        <f>IF(2020&gt;=2025,Scen_Base*(1+INDEX(Scen_Taux,1))^(2020-2025),NA())</f>
        <v/>
      </c>
      <c r="D63" s="84">
        <f>IF(2020&gt;=2025,Scen_Base*(1+INDEX(Scen_Taux,2))^(2020-2025),NA())</f>
        <v/>
      </c>
      <c r="E63" s="84">
        <f>IF(2020&gt;=2025,Scen_Base*(1+INDEX(Scen_Taux,3))^(2020-2025),NA())</f>
        <v/>
      </c>
      <c r="AJ63" t="n">
        <v>1209.18</v>
      </c>
      <c r="AK63" t="n">
        <v>1340.36</v>
      </c>
      <c r="AM63" t="n">
        <v>1315.27</v>
      </c>
      <c r="AN63" t="n">
        <v>1248.68</v>
      </c>
      <c r="AP63" t="n">
        <v>1035.38</v>
      </c>
      <c r="AQ63" t="n">
        <v>1124.99</v>
      </c>
    </row>
    <row r="64">
      <c r="A64" t="inlineStr">
        <is>
          <t>2021</t>
        </is>
      </c>
      <c r="B64" s="84">
        <f>IF(2021&lt;=2025,SUMIFS(Loyers_Montant,Loyers_Annee,2021,Loyers_Type,"2 chambres"),NA())</f>
        <v/>
      </c>
      <c r="C64" s="84">
        <f>IF(2021&gt;=2025,Scen_Base*(1+INDEX(Scen_Taux,1))^(2021-2025),NA())</f>
        <v/>
      </c>
      <c r="D64" s="84">
        <f>IF(2021&gt;=2025,Scen_Base*(1+INDEX(Scen_Taux,2))^(2021-2025),NA())</f>
        <v/>
      </c>
      <c r="E64" s="84">
        <f>IF(2021&gt;=2025,Scen_Base*(1+INDEX(Scen_Taux,3))^(2021-2025),NA())</f>
        <v/>
      </c>
      <c r="AJ64" t="n">
        <v>1216</v>
      </c>
      <c r="AK64" t="n">
        <v>1342.54</v>
      </c>
      <c r="AM64" t="n">
        <v>1315.25</v>
      </c>
      <c r="AN64" t="n">
        <v>1250.55</v>
      </c>
      <c r="AP64" t="n">
        <v>1032.3</v>
      </c>
      <c r="AQ64" t="n">
        <v>1120.34</v>
      </c>
    </row>
    <row r="65">
      <c r="A65" t="inlineStr">
        <is>
          <t>2022</t>
        </is>
      </c>
      <c r="B65" s="84">
        <f>IF(2022&lt;=2025,SUMIFS(Loyers_Montant,Loyers_Annee,2022,Loyers_Type,"2 chambres"),NA())</f>
        <v/>
      </c>
      <c r="C65" s="84">
        <f>IF(2022&gt;=2025,Scen_Base*(1+INDEX(Scen_Taux,1))^(2022-2025),NA())</f>
        <v/>
      </c>
      <c r="D65" s="84">
        <f>IF(2022&gt;=2025,Scen_Base*(1+INDEX(Scen_Taux,2))^(2022-2025),NA())</f>
        <v/>
      </c>
      <c r="E65" s="84">
        <f>IF(2022&gt;=2025,Scen_Base*(1+INDEX(Scen_Taux,3))^(2022-2025),NA())</f>
        <v/>
      </c>
      <c r="AM65" t="n">
        <v>1318.91</v>
      </c>
      <c r="AN65" t="n">
        <v>1253.44</v>
      </c>
      <c r="AP65" t="n">
        <v>1028.51</v>
      </c>
      <c r="AQ65" t="n">
        <v>1120.45</v>
      </c>
    </row>
    <row r="66">
      <c r="A66" t="inlineStr">
        <is>
          <t>2023</t>
        </is>
      </c>
      <c r="B66" s="84">
        <f>IF(2023&lt;=2025,SUMIFS(Loyers_Montant,Loyers_Annee,2023,Loyers_Type,"2 chambres"),NA())</f>
        <v/>
      </c>
      <c r="C66" s="84">
        <f>IF(2023&gt;=2025,Scen_Base*(1+INDEX(Scen_Taux,1))^(2023-2025),NA())</f>
        <v/>
      </c>
      <c r="D66" s="84">
        <f>IF(2023&gt;=2025,Scen_Base*(1+INDEX(Scen_Taux,2))^(2023-2025),NA())</f>
        <v/>
      </c>
      <c r="E66" s="84">
        <f>IF(2023&gt;=2025,Scen_Base*(1+INDEX(Scen_Taux,3))^(2023-2025),NA())</f>
        <v/>
      </c>
      <c r="AJ66" t="n">
        <v>1236.1</v>
      </c>
      <c r="AK66" t="n">
        <v>1297.1</v>
      </c>
      <c r="AM66" t="n">
        <v>1323.27</v>
      </c>
      <c r="AN66" t="n">
        <v>1253.88</v>
      </c>
      <c r="AP66" t="n">
        <v>1025.76</v>
      </c>
      <c r="AQ66" t="n">
        <v>1126.99</v>
      </c>
    </row>
    <row r="67">
      <c r="A67" t="inlineStr">
        <is>
          <t>2024</t>
        </is>
      </c>
      <c r="B67" s="84">
        <f>IF(2024&lt;=2025,SUMIFS(Loyers_Montant,Loyers_Annee,2024,Loyers_Type,"2 chambres"),NA())</f>
        <v/>
      </c>
      <c r="C67" s="84">
        <f>IF(2024&gt;=2025,Scen_Base*(1+INDEX(Scen_Taux,1))^(2024-2025),NA())</f>
        <v/>
      </c>
      <c r="D67" s="84">
        <f>IF(2024&gt;=2025,Scen_Base*(1+INDEX(Scen_Taux,2))^(2024-2025),NA())</f>
        <v/>
      </c>
      <c r="E67" s="84">
        <f>IF(2024&gt;=2025,Scen_Base*(1+INDEX(Scen_Taux,3))^(2024-2025),NA())</f>
        <v/>
      </c>
      <c r="AJ67" t="n">
        <v>1231.63</v>
      </c>
      <c r="AK67" t="n">
        <v>1294.67</v>
      </c>
      <c r="AM67" t="n">
        <v>1325.42</v>
      </c>
      <c r="AN67" t="n">
        <v>1251.56</v>
      </c>
      <c r="AP67" t="n">
        <v>1026.51</v>
      </c>
      <c r="AQ67" t="n">
        <v>1134.57</v>
      </c>
    </row>
    <row r="68">
      <c r="A68" t="inlineStr">
        <is>
          <t>2025</t>
        </is>
      </c>
      <c r="B68" s="84">
        <f>IF(2025&lt;=2025,SUMIFS(Loyers_Montant,Loyers_Annee,2025,Loyers_Type,"2 chambres"),NA())</f>
        <v/>
      </c>
      <c r="C68" s="84">
        <f>IF(2025&gt;=2025,Scen_Base*(1+INDEX(Scen_Taux,1))^(2025-2025),NA())</f>
        <v/>
      </c>
      <c r="D68" s="84">
        <f>IF(2025&gt;=2025,Scen_Base*(1+INDEX(Scen_Taux,2))^(2025-2025),NA())</f>
        <v/>
      </c>
      <c r="E68" s="84">
        <f>IF(2025&gt;=2025,Scen_Base*(1+INDEX(Scen_Taux,3))^(2025-2025),NA())</f>
        <v/>
      </c>
      <c r="AJ68" t="n">
        <v>1237.82</v>
      </c>
      <c r="AK68" t="n">
        <v>1309.56</v>
      </c>
      <c r="AM68" t="n">
        <v>1323.18</v>
      </c>
      <c r="AN68" t="n">
        <v>1242.64</v>
      </c>
      <c r="AP68" t="n">
        <v>1032.3</v>
      </c>
      <c r="AQ68" t="n">
        <v>1140.25</v>
      </c>
    </row>
    <row r="69">
      <c r="A69" t="inlineStr">
        <is>
          <t>2026</t>
        </is>
      </c>
      <c r="B69" s="84">
        <f>IF(2026&lt;=2025,SUMIFS(Loyers_Montant,Loyers_Annee,2026,Loyers_Type,"2 chambres"),NA())</f>
        <v/>
      </c>
      <c r="C69" s="84">
        <f>IF(2026&gt;=2025,Scen_Base*(1+INDEX(Scen_Taux,1))^(2026-2025),NA())</f>
        <v/>
      </c>
      <c r="D69" s="84">
        <f>IF(2026&gt;=2025,Scen_Base*(1+INDEX(Scen_Taux,2))^(2026-2025),NA())</f>
        <v/>
      </c>
      <c r="E69" s="84">
        <f>IF(2026&gt;=2025,Scen_Base*(1+INDEX(Scen_Taux,3))^(2026-2025),NA())</f>
        <v/>
      </c>
      <c r="AJ69" t="n">
        <v>1236.1</v>
      </c>
      <c r="AK69" t="n">
        <v>1297.1</v>
      </c>
      <c r="AM69" t="n">
        <v>1325.93</v>
      </c>
      <c r="AN69" t="n">
        <v>1244.93</v>
      </c>
      <c r="AP69" t="n">
        <v>1025.6</v>
      </c>
      <c r="AQ69" t="n">
        <v>1136.3</v>
      </c>
    </row>
    <row r="70">
      <c r="A70" t="inlineStr">
        <is>
          <t>2027</t>
        </is>
      </c>
      <c r="B70" s="84">
        <f>IF(2027&lt;=2025,SUMIFS(Loyers_Montant,Loyers_Annee,2027,Loyers_Type,"2 chambres"),NA())</f>
        <v/>
      </c>
      <c r="C70" s="84">
        <f>IF(2027&gt;=2025,Scen_Base*(1+INDEX(Scen_Taux,1))^(2027-2025),NA())</f>
        <v/>
      </c>
      <c r="D70" s="84">
        <f>IF(2027&gt;=2025,Scen_Base*(1+INDEX(Scen_Taux,2))^(2027-2025),NA())</f>
        <v/>
      </c>
      <c r="E70" s="84">
        <f>IF(2027&gt;=2025,Scen_Base*(1+INDEX(Scen_Taux,3))^(2027-2025),NA())</f>
        <v/>
      </c>
      <c r="AM70" t="n">
        <v>1325.96</v>
      </c>
      <c r="AN70" t="n">
        <v>1242.83</v>
      </c>
      <c r="AP70" t="n">
        <v>1022.91</v>
      </c>
      <c r="AQ70" t="n">
        <v>1138.26</v>
      </c>
    </row>
    <row r="71">
      <c r="A71" t="inlineStr">
        <is>
          <t>2028</t>
        </is>
      </c>
      <c r="B71" s="84">
        <f>IF(2028&lt;=2025,SUMIFS(Loyers_Montant,Loyers_Annee,2028,Loyers_Type,"2 chambres"),NA())</f>
        <v/>
      </c>
      <c r="C71" s="84">
        <f>IF(2028&gt;=2025,Scen_Base*(1+INDEX(Scen_Taux,1))^(2028-2025),NA())</f>
        <v/>
      </c>
      <c r="D71" s="84">
        <f>IF(2028&gt;=2025,Scen_Base*(1+INDEX(Scen_Taux,2))^(2028-2025),NA())</f>
        <v/>
      </c>
      <c r="E71" s="84">
        <f>IF(2028&gt;=2025,Scen_Base*(1+INDEX(Scen_Taux,3))^(2028-2025),NA())</f>
        <v/>
      </c>
      <c r="AJ71" t="n">
        <v>1213.84</v>
      </c>
      <c r="AK71" t="n">
        <v>1322.37</v>
      </c>
      <c r="AM71" t="n">
        <v>1328.83</v>
      </c>
      <c r="AN71" t="n">
        <v>1244.15</v>
      </c>
      <c r="AP71" t="n">
        <v>1023.94</v>
      </c>
      <c r="AQ71" t="n">
        <v>1140.68</v>
      </c>
    </row>
    <row r="72">
      <c r="A72" t="inlineStr">
        <is>
          <t>2029</t>
        </is>
      </c>
      <c r="B72" s="84">
        <f>IF(2029&lt;=2025,SUMIFS(Loyers_Montant,Loyers_Annee,2029,Loyers_Type,"2 chambres"),NA())</f>
        <v/>
      </c>
      <c r="C72" s="84">
        <f>IF(2029&gt;=2025,Scen_Base*(1+INDEX(Scen_Taux,1))^(2029-2025),NA())</f>
        <v/>
      </c>
      <c r="D72" s="84">
        <f>IF(2029&gt;=2025,Scen_Base*(1+INDEX(Scen_Taux,2))^(2029-2025),NA())</f>
        <v/>
      </c>
      <c r="E72" s="84">
        <f>IF(2029&gt;=2025,Scen_Base*(1+INDEX(Scen_Taux,3))^(2029-2025),NA())</f>
        <v/>
      </c>
      <c r="AJ72" t="n">
        <v>1208.85</v>
      </c>
      <c r="AK72" t="n">
        <v>1321.32</v>
      </c>
      <c r="AM72" t="n">
        <v>1329.45</v>
      </c>
      <c r="AN72" t="n">
        <v>1241.19</v>
      </c>
      <c r="AP72" t="n">
        <v>1020.75</v>
      </c>
      <c r="AQ72" t="n">
        <v>1138.73</v>
      </c>
    </row>
    <row r="73">
      <c r="A73" t="inlineStr">
        <is>
          <t>2030</t>
        </is>
      </c>
      <c r="B73" s="84">
        <f>IF(2030&lt;=2025,SUMIFS(Loyers_Montant,Loyers_Annee,2030,Loyers_Type,"2 chambres"),NA())</f>
        <v/>
      </c>
      <c r="C73" s="84">
        <f>IF(2030&gt;=2025,Scen_Base*(1+INDEX(Scen_Taux,1))^(2030-2025),NA())</f>
        <v/>
      </c>
      <c r="D73" s="84">
        <f>IF(2030&gt;=2025,Scen_Base*(1+INDEX(Scen_Taux,2))^(2030-2025),NA())</f>
        <v/>
      </c>
      <c r="E73" s="84">
        <f>IF(2030&gt;=2025,Scen_Base*(1+INDEX(Scen_Taux,3))^(2030-2025),NA())</f>
        <v/>
      </c>
      <c r="AJ73" t="n">
        <v>1207.96</v>
      </c>
      <c r="AK73" t="n">
        <v>1306.45</v>
      </c>
      <c r="AM73" t="n">
        <v>1327.56</v>
      </c>
      <c r="AN73" t="n">
        <v>1237.37</v>
      </c>
      <c r="AP73" t="n">
        <v>1014.44</v>
      </c>
      <c r="AQ73" t="n">
        <v>1144.31</v>
      </c>
    </row>
    <row r="74">
      <c r="AJ74" t="n">
        <v>1206.84</v>
      </c>
      <c r="AK74" t="n">
        <v>1328.36</v>
      </c>
      <c r="AM74" t="n">
        <v>1335.49</v>
      </c>
      <c r="AN74" t="n">
        <v>1247.91</v>
      </c>
      <c r="AP74" t="n">
        <v>1021.05</v>
      </c>
      <c r="AQ74" t="n">
        <v>1143.58</v>
      </c>
    </row>
    <row r="75">
      <c r="AJ75" t="n">
        <v>1213.84</v>
      </c>
      <c r="AK75" t="n">
        <v>1322.37</v>
      </c>
      <c r="AM75" t="n">
        <v>1336.77</v>
      </c>
      <c r="AN75" t="n">
        <v>1243.05</v>
      </c>
      <c r="AP75" t="n">
        <v>1015.04</v>
      </c>
      <c r="AQ75" t="n">
        <v>1146.58</v>
      </c>
    </row>
    <row r="76">
      <c r="A76" t="inlineStr">
        <is>
          <t>Hausse des loyers sur un an</t>
        </is>
      </c>
      <c r="C76" t="inlineStr">
        <is>
          <t>Écart entre loyer demandé et loyer payé (%)</t>
        </is>
      </c>
      <c r="AM76" t="n">
        <v>1334.24</v>
      </c>
      <c r="AN76" t="n">
        <v>1237.9</v>
      </c>
      <c r="AP76" t="n">
        <v>1017.79</v>
      </c>
      <c r="AQ76" t="n">
        <v>1148.16</v>
      </c>
    </row>
    <row r="77">
      <c r="A77" t="inlineStr">
        <is>
          <t>Hausse des loyers depuis 2019</t>
        </is>
      </c>
      <c r="C77" t="inlineStr">
        <is>
          <t>Écart entre loyer demandé et loyer payé ($)</t>
        </is>
      </c>
      <c r="AJ77" t="n">
        <v>1243.03</v>
      </c>
      <c r="AK77" t="n">
        <v>1246.11</v>
      </c>
      <c r="AM77" t="n">
        <v>1335.82</v>
      </c>
      <c r="AN77" t="n">
        <v>1236.43</v>
      </c>
      <c r="AP77" t="n">
        <v>1018.36</v>
      </c>
      <c r="AQ77" t="n">
        <v>1152.27</v>
      </c>
    </row>
    <row r="78">
      <c r="A78" t="inlineStr">
        <is>
          <t>Hausse réelle depuis 2019 (après inflation)</t>
        </is>
      </c>
      <c r="C78" t="inlineStr">
        <is>
          <t>Loyer demandé ($)</t>
        </is>
      </c>
      <c r="AJ78" t="n">
        <v>1247.93</v>
      </c>
      <c r="AK78" t="n">
        <v>1204.98</v>
      </c>
      <c r="AM78" t="n">
        <v>1333.61</v>
      </c>
      <c r="AN78" t="n">
        <v>1233.43</v>
      </c>
      <c r="AP78" t="n">
        <v>1015.98</v>
      </c>
      <c r="AQ78" t="n">
        <v>1150.67</v>
      </c>
    </row>
    <row r="79">
      <c r="AJ79" t="n">
        <v>1234.46</v>
      </c>
      <c r="AK79" t="n">
        <v>1217.46</v>
      </c>
      <c r="AM79" t="n">
        <v>1335.64</v>
      </c>
      <c r="AN79" t="n">
        <v>1235.03</v>
      </c>
      <c r="AP79" t="n">
        <v>1011.61</v>
      </c>
      <c r="AQ79" t="n">
        <v>1152.54</v>
      </c>
    </row>
    <row r="80">
      <c r="AJ80" t="n">
        <v>1239.9</v>
      </c>
      <c r="AK80" t="n">
        <v>1225.61</v>
      </c>
      <c r="AM80" t="n">
        <v>1335.98</v>
      </c>
      <c r="AN80" t="n">
        <v>1229.95</v>
      </c>
      <c r="AP80" t="n">
        <v>1008.17</v>
      </c>
      <c r="AQ80" t="n">
        <v>1160.41</v>
      </c>
    </row>
    <row r="81">
      <c r="A81" s="46" t="inlineStr">
        <is>
          <t>Code</t>
        </is>
      </c>
      <c r="B81" s="46" t="inlineStr">
        <is>
          <t>Province</t>
        </is>
      </c>
      <c r="C81" s="46" t="inlineStr">
        <is>
          <t>x</t>
        </is>
      </c>
      <c r="D81" s="46" t="inlineStr">
        <is>
          <t>y</t>
        </is>
      </c>
      <c r="E81" s="46" t="inlineStr">
        <is>
          <t>Loyer (année)</t>
        </is>
      </c>
      <c r="F81" s="46" t="inlineStr">
        <is>
          <t>Loyer (année - 1)</t>
        </is>
      </c>
      <c r="G81" s="46" t="inlineStr">
        <is>
          <t>Loyer 2019</t>
        </is>
      </c>
      <c r="H81" s="46" t="inlineStr">
        <is>
          <t>Ensemble (année)</t>
        </is>
      </c>
      <c r="I81" s="46" t="inlineStr">
        <is>
          <t>Ensemble 2019</t>
        </is>
      </c>
      <c r="J81" s="46" t="inlineStr">
        <is>
          <t>Sur un an</t>
        </is>
      </c>
      <c r="K81" s="46" t="inlineStr">
        <is>
          <t>Depuis 2019</t>
        </is>
      </c>
      <c r="L81" s="46" t="inlineStr">
        <is>
          <t>Réelle</t>
        </is>
      </c>
      <c r="M81" s="46" t="inlineStr">
        <is>
          <t>Valeur</t>
        </is>
      </c>
      <c r="N81" s="46" t="inlineStr">
        <is>
          <t>Tri</t>
        </is>
      </c>
      <c r="O81" s="46" t="inlineStr">
        <is>
          <t>Rang</t>
        </is>
      </c>
      <c r="P81" s="46" t="inlineStr">
        <is>
          <t>Classe</t>
        </is>
      </c>
      <c r="Q81" s="46" t="inlineStr">
        <is>
          <t>Étiquette</t>
        </is>
      </c>
      <c r="R81" s="46" t="inlineStr">
        <is>
          <t>x étiquette</t>
        </is>
      </c>
      <c r="S81" s="46" t="inlineStr">
        <is>
          <t>y étiquette</t>
        </is>
      </c>
      <c r="T81" s="46" t="inlineStr">
        <is>
          <t>y classe 1</t>
        </is>
      </c>
      <c r="U81" s="46" t="inlineStr">
        <is>
          <t>y classe 2</t>
        </is>
      </c>
      <c r="V81" s="46" t="inlineStr">
        <is>
          <t>y classe 3</t>
        </is>
      </c>
      <c r="W81" s="46" t="inlineStr">
        <is>
          <t>y classe 4</t>
        </is>
      </c>
      <c r="X81" s="46" t="inlineStr">
        <is>
          <t>y classe 5</t>
        </is>
      </c>
      <c r="Y81" s="46" t="inlineStr">
        <is>
          <t>y choisie</t>
        </is>
      </c>
      <c r="Z81" s="46" t="inlineStr">
        <is>
          <t>Rang trié</t>
        </is>
      </c>
      <c r="AA81" s="46" t="inlineStr">
        <is>
          <t>Province triée</t>
        </is>
      </c>
      <c r="AB81" s="46" t="inlineStr">
        <is>
          <t>Valeur triée</t>
        </is>
      </c>
      <c r="AC81" s="46" t="inlineStr">
        <is>
          <t>Hausse 2025</t>
        </is>
      </c>
      <c r="AD81" s="46" t="inlineStr">
        <is>
          <t>Rang 2025</t>
        </is>
      </c>
      <c r="AJ81" t="n">
        <v>1230.63</v>
      </c>
      <c r="AK81" t="n">
        <v>1225.32</v>
      </c>
      <c r="AM81" t="n">
        <v>1339.21</v>
      </c>
      <c r="AN81" t="n">
        <v>1229.4</v>
      </c>
      <c r="AP81" t="n">
        <v>1014.97</v>
      </c>
      <c r="AQ81" t="n">
        <v>1165.54</v>
      </c>
    </row>
    <row r="82">
      <c r="A82" t="inlineStr">
        <is>
          <t>AB</t>
        </is>
      </c>
      <c r="B82" t="inlineStr">
        <is>
          <t>Alberta</t>
        </is>
      </c>
      <c r="C82" t="n">
        <v>1377.73</v>
      </c>
      <c r="D82" t="n">
        <v>1263.62</v>
      </c>
      <c r="E82" s="136">
        <f>SUMIFS(IPCP_Loyer,IPCP_Annee,AnneeCarte,IPCP_Code,$A82)</f>
        <v/>
      </c>
      <c r="F82" s="136">
        <f>SUMIFS(IPCP_Loyer,IPCP_Annee,AnneeCarte-1,IPCP_Code,$A82)</f>
        <v/>
      </c>
      <c r="G82" s="136">
        <f>SUMIFS(IPCP_Loyer,IPCP_Annee,2019,IPCP_Code,$A82)</f>
        <v/>
      </c>
      <c r="H82" s="136">
        <f>SUMIFS(IPCP_Ens,IPCP_Annee,AnneeCarte,IPCP_Code,$A82)</f>
        <v/>
      </c>
      <c r="I82" s="136">
        <f>SUMIFS(IPCP_Ens,IPCP_Annee,2019,IPCP_Code,$A82)</f>
        <v/>
      </c>
      <c r="J82" s="138">
        <f>E82/F82-1</f>
        <v/>
      </c>
      <c r="K82" s="138">
        <f>E82/G82-1</f>
        <v/>
      </c>
      <c r="L82" s="138">
        <f>(E82/G82)/(H82/I82)-1</f>
        <v/>
      </c>
      <c r="M82" s="138">
        <f>CHOOSE(MATCH(IndCarte,ListeIndProv,0),J82,K82,L82)</f>
        <v/>
      </c>
      <c r="N82">
        <f>M82+ROW()/1E9</f>
        <v/>
      </c>
      <c r="O82">
        <f>RANK(N82,$N$82:$N$91,0)</f>
        <v/>
      </c>
      <c r="P82">
        <f>MATCH(M82,Seuils_Prov,1)</f>
        <v/>
      </c>
      <c r="Q82">
        <f>A82&amp;" "&amp;IF((M82)&gt;=0,"+","")&amp;FIXED((M82)*100,1)&amp;" %"</f>
        <v/>
      </c>
      <c r="R82">
        <f>C82+0</f>
        <v/>
      </c>
      <c r="S82">
        <f>D82+-32</f>
        <v/>
      </c>
      <c r="T82">
        <f>IF(AND(P82=1,A82&lt;&gt;ProvSelCode),D82,NA())</f>
        <v/>
      </c>
      <c r="U82">
        <f>IF(AND(P82=2,A82&lt;&gt;ProvSelCode),D82,NA())</f>
        <v/>
      </c>
      <c r="V82">
        <f>IF(AND(P82=3,A82&lt;&gt;ProvSelCode),D82,NA())</f>
        <v/>
      </c>
      <c r="W82">
        <f>IF(AND(P82=4,A82&lt;&gt;ProvSelCode),D82,NA())</f>
        <v/>
      </c>
      <c r="X82">
        <f>IF(AND(P82=5,A82&lt;&gt;ProvSelCode),D82,NA())</f>
        <v/>
      </c>
      <c r="Y82">
        <f>IF(A82=ProvSelCode,D82,NA())</f>
        <v/>
      </c>
      <c r="Z82" t="n">
        <v>1</v>
      </c>
      <c r="AA82">
        <f>INDEX($B$82:$B$91,MATCH(Z82,$O$82:$O$91,0))</f>
        <v/>
      </c>
      <c r="AB82" s="138">
        <f>INDEX($M$82:$M$91,MATCH(Z82,$O$82:$O$91,0))</f>
        <v/>
      </c>
      <c r="AC82" s="138">
        <f>SUMIFS(IPCP_Loyer,IPCP_Annee,2025,IPCP_Code,$A82)/SUMIFS(IPCP_Loyer,IPCP_Annee,2024,IPCP_Code,$A82)-1</f>
        <v/>
      </c>
      <c r="AD82">
        <f>RANK(AC82,$AC$82:$AC$91,0)</f>
        <v/>
      </c>
      <c r="AJ82" t="n">
        <v>1224.72</v>
      </c>
      <c r="AK82" t="n">
        <v>1238.79</v>
      </c>
      <c r="AM82" t="n">
        <v>1339.51</v>
      </c>
      <c r="AN82" t="n">
        <v>1237.06</v>
      </c>
      <c r="AP82" t="n">
        <v>1022.45</v>
      </c>
      <c r="AQ82" t="n">
        <v>1162.74</v>
      </c>
    </row>
    <row r="83">
      <c r="A83" t="inlineStr">
        <is>
          <t>BC</t>
        </is>
      </c>
      <c r="B83" t="inlineStr">
        <is>
          <t>Colombie-Britannique</t>
        </is>
      </c>
      <c r="C83" t="n">
        <v>1287.95</v>
      </c>
      <c r="D83" t="n">
        <v>1297.57</v>
      </c>
      <c r="E83" s="136">
        <f>SUMIFS(IPCP_Loyer,IPCP_Annee,AnneeCarte,IPCP_Code,$A83)</f>
        <v/>
      </c>
      <c r="F83" s="136">
        <f>SUMIFS(IPCP_Loyer,IPCP_Annee,AnneeCarte-1,IPCP_Code,$A83)</f>
        <v/>
      </c>
      <c r="G83" s="136">
        <f>SUMIFS(IPCP_Loyer,IPCP_Annee,2019,IPCP_Code,$A83)</f>
        <v/>
      </c>
      <c r="H83" s="136">
        <f>SUMIFS(IPCP_Ens,IPCP_Annee,AnneeCarte,IPCP_Code,$A83)</f>
        <v/>
      </c>
      <c r="I83" s="136">
        <f>SUMIFS(IPCP_Ens,IPCP_Annee,2019,IPCP_Code,$A83)</f>
        <v/>
      </c>
      <c r="J83" s="138">
        <f>E83/F83-1</f>
        <v/>
      </c>
      <c r="K83" s="138">
        <f>E83/G83-1</f>
        <v/>
      </c>
      <c r="L83" s="138">
        <f>(E83/G83)/(H83/I83)-1</f>
        <v/>
      </c>
      <c r="M83" s="138">
        <f>CHOOSE(MATCH(IndCarte,ListeIndProv,0),J83,K83,L83)</f>
        <v/>
      </c>
      <c r="N83">
        <f>M83+ROW()/1E9</f>
        <v/>
      </c>
      <c r="O83">
        <f>RANK(N83,$N$82:$N$91,0)</f>
        <v/>
      </c>
      <c r="P83">
        <f>MATCH(M83,Seuils_Prov,1)</f>
        <v/>
      </c>
      <c r="Q83">
        <f>A83&amp;" "&amp;IF((M83)&gt;=0,"+","")&amp;FIXED((M83)*100,1)&amp;" %"</f>
        <v/>
      </c>
      <c r="R83">
        <f>C83+0</f>
        <v/>
      </c>
      <c r="S83">
        <f>D83+-32</f>
        <v/>
      </c>
      <c r="T83">
        <f>IF(AND(P83=1,A83&lt;&gt;ProvSelCode),D83,NA())</f>
        <v/>
      </c>
      <c r="U83">
        <f>IF(AND(P83=2,A83&lt;&gt;ProvSelCode),D83,NA())</f>
        <v/>
      </c>
      <c r="V83">
        <f>IF(AND(P83=3,A83&lt;&gt;ProvSelCode),D83,NA())</f>
        <v/>
      </c>
      <c r="W83">
        <f>IF(AND(P83=4,A83&lt;&gt;ProvSelCode),D83,NA())</f>
        <v/>
      </c>
      <c r="X83">
        <f>IF(AND(P83=5,A83&lt;&gt;ProvSelCode),D83,NA())</f>
        <v/>
      </c>
      <c r="Y83">
        <f>IF(A83=ProvSelCode,D83,NA())</f>
        <v/>
      </c>
      <c r="Z83" t="n">
        <v>2</v>
      </c>
      <c r="AA83">
        <f>INDEX($B$82:$B$91,MATCH(Z83,$O$82:$O$91,0))</f>
        <v/>
      </c>
      <c r="AB83" s="138">
        <f>INDEX($M$82:$M$91,MATCH(Z83,$O$82:$O$91,0))</f>
        <v/>
      </c>
      <c r="AC83" s="138">
        <f>SUMIFS(IPCP_Loyer,IPCP_Annee,2025,IPCP_Code,$A83)/SUMIFS(IPCP_Loyer,IPCP_Annee,2024,IPCP_Code,$A83)-1</f>
        <v/>
      </c>
      <c r="AD83">
        <f>RANK(AC83,$AC$82:$AC$91,0)</f>
        <v/>
      </c>
      <c r="AJ83" t="n">
        <v>1231.03</v>
      </c>
      <c r="AK83" t="n">
        <v>1240.07</v>
      </c>
      <c r="AM83" t="n">
        <v>1342.04</v>
      </c>
      <c r="AN83" t="n">
        <v>1241.61</v>
      </c>
      <c r="AP83" t="n">
        <v>1016.71</v>
      </c>
      <c r="AQ83" t="n">
        <v>1166.49</v>
      </c>
    </row>
    <row r="84">
      <c r="A84" t="inlineStr">
        <is>
          <t>MB</t>
        </is>
      </c>
      <c r="B84" t="inlineStr">
        <is>
          <t>Manitoba</t>
        </is>
      </c>
      <c r="C84" t="n">
        <v>1542.74</v>
      </c>
      <c r="D84" t="n">
        <v>1236.51</v>
      </c>
      <c r="E84" s="136">
        <f>SUMIFS(IPCP_Loyer,IPCP_Annee,AnneeCarte,IPCP_Code,$A84)</f>
        <v/>
      </c>
      <c r="F84" s="136">
        <f>SUMIFS(IPCP_Loyer,IPCP_Annee,AnneeCarte-1,IPCP_Code,$A84)</f>
        <v/>
      </c>
      <c r="G84" s="136">
        <f>SUMIFS(IPCP_Loyer,IPCP_Annee,2019,IPCP_Code,$A84)</f>
        <v/>
      </c>
      <c r="H84" s="136">
        <f>SUMIFS(IPCP_Ens,IPCP_Annee,AnneeCarte,IPCP_Code,$A84)</f>
        <v/>
      </c>
      <c r="I84" s="136">
        <f>SUMIFS(IPCP_Ens,IPCP_Annee,2019,IPCP_Code,$A84)</f>
        <v/>
      </c>
      <c r="J84" s="138">
        <f>E84/F84-1</f>
        <v/>
      </c>
      <c r="K84" s="138">
        <f>E84/G84-1</f>
        <v/>
      </c>
      <c r="L84" s="138">
        <f>(E84/G84)/(H84/I84)-1</f>
        <v/>
      </c>
      <c r="M84" s="138">
        <f>CHOOSE(MATCH(IndCarte,ListeIndProv,0),J84,K84,L84)</f>
        <v/>
      </c>
      <c r="N84">
        <f>M84+ROW()/1E9</f>
        <v/>
      </c>
      <c r="O84">
        <f>RANK(N84,$N$82:$N$91,0)</f>
        <v/>
      </c>
      <c r="P84">
        <f>MATCH(M84,Seuils_Prov,1)</f>
        <v/>
      </c>
      <c r="Q84">
        <f>A84&amp;" "&amp;IF((M84)&gt;=0,"+","")&amp;FIXED((M84)*100,1)&amp;" %"</f>
        <v/>
      </c>
      <c r="R84">
        <f>C84+0</f>
        <v/>
      </c>
      <c r="S84">
        <f>D84+-32</f>
        <v/>
      </c>
      <c r="T84">
        <f>IF(AND(P84=1,A84&lt;&gt;ProvSelCode),D84,NA())</f>
        <v/>
      </c>
      <c r="U84">
        <f>IF(AND(P84=2,A84&lt;&gt;ProvSelCode),D84,NA())</f>
        <v/>
      </c>
      <c r="V84">
        <f>IF(AND(P84=3,A84&lt;&gt;ProvSelCode),D84,NA())</f>
        <v/>
      </c>
      <c r="W84">
        <f>IF(AND(P84=4,A84&lt;&gt;ProvSelCode),D84,NA())</f>
        <v/>
      </c>
      <c r="X84">
        <f>IF(AND(P84=5,A84&lt;&gt;ProvSelCode),D84,NA())</f>
        <v/>
      </c>
      <c r="Y84">
        <f>IF(A84=ProvSelCode,D84,NA())</f>
        <v/>
      </c>
      <c r="Z84" t="n">
        <v>3</v>
      </c>
      <c r="AA84">
        <f>INDEX($B$82:$B$91,MATCH(Z84,$O$82:$O$91,0))</f>
        <v/>
      </c>
      <c r="AB84" s="138">
        <f>INDEX($M$82:$M$91,MATCH(Z84,$O$82:$O$91,0))</f>
        <v/>
      </c>
      <c r="AC84" s="138">
        <f>SUMIFS(IPCP_Loyer,IPCP_Annee,2025,IPCP_Code,$A84)/SUMIFS(IPCP_Loyer,IPCP_Annee,2024,IPCP_Code,$A84)-1</f>
        <v/>
      </c>
      <c r="AD84">
        <f>RANK(AC84,$AC$82:$AC$91,0)</f>
        <v/>
      </c>
      <c r="AJ84" t="n">
        <v>1218.72</v>
      </c>
      <c r="AK84" t="n">
        <v>1257.05</v>
      </c>
      <c r="AM84" t="n">
        <v>1345.48</v>
      </c>
      <c r="AN84" t="n">
        <v>1230.74</v>
      </c>
      <c r="AP84" t="n">
        <v>1011.86</v>
      </c>
      <c r="AQ84" t="n">
        <v>1164.83</v>
      </c>
    </row>
    <row r="85">
      <c r="A85" t="inlineStr">
        <is>
          <t>NB</t>
        </is>
      </c>
      <c r="B85" t="inlineStr">
        <is>
          <t>Nouveau-Brunswick</t>
        </is>
      </c>
      <c r="C85" t="n">
        <v>1900.06</v>
      </c>
      <c r="D85" t="n">
        <v>1146.22</v>
      </c>
      <c r="E85" s="136">
        <f>SUMIFS(IPCP_Loyer,IPCP_Annee,AnneeCarte,IPCP_Code,$A85)</f>
        <v/>
      </c>
      <c r="F85" s="136">
        <f>SUMIFS(IPCP_Loyer,IPCP_Annee,AnneeCarte-1,IPCP_Code,$A85)</f>
        <v/>
      </c>
      <c r="G85" s="136">
        <f>SUMIFS(IPCP_Loyer,IPCP_Annee,2019,IPCP_Code,$A85)</f>
        <v/>
      </c>
      <c r="H85" s="136">
        <f>SUMIFS(IPCP_Ens,IPCP_Annee,AnneeCarte,IPCP_Code,$A85)</f>
        <v/>
      </c>
      <c r="I85" s="136">
        <f>SUMIFS(IPCP_Ens,IPCP_Annee,2019,IPCP_Code,$A85)</f>
        <v/>
      </c>
      <c r="J85" s="138">
        <f>E85/F85-1</f>
        <v/>
      </c>
      <c r="K85" s="138">
        <f>E85/G85-1</f>
        <v/>
      </c>
      <c r="L85" s="138">
        <f>(E85/G85)/(H85/I85)-1</f>
        <v/>
      </c>
      <c r="M85" s="138">
        <f>CHOOSE(MATCH(IndCarte,ListeIndProv,0),J85,K85,L85)</f>
        <v/>
      </c>
      <c r="N85">
        <f>M85+ROW()/1E9</f>
        <v/>
      </c>
      <c r="O85">
        <f>RANK(N85,$N$82:$N$91,0)</f>
        <v/>
      </c>
      <c r="P85">
        <f>MATCH(M85,Seuils_Prov,1)</f>
        <v/>
      </c>
      <c r="Q85">
        <f>A85&amp;" "&amp;IF((M85)&gt;=0,"+","")&amp;FIXED((M85)*100,1)&amp;" %"</f>
        <v/>
      </c>
      <c r="R85">
        <f>C85+-58</f>
        <v/>
      </c>
      <c r="S85">
        <f>D85+-6</f>
        <v/>
      </c>
      <c r="T85">
        <f>IF(AND(P85=1,A85&lt;&gt;ProvSelCode),D85,NA())</f>
        <v/>
      </c>
      <c r="U85">
        <f>IF(AND(P85=2,A85&lt;&gt;ProvSelCode),D85,NA())</f>
        <v/>
      </c>
      <c r="V85">
        <f>IF(AND(P85=3,A85&lt;&gt;ProvSelCode),D85,NA())</f>
        <v/>
      </c>
      <c r="W85">
        <f>IF(AND(P85=4,A85&lt;&gt;ProvSelCode),D85,NA())</f>
        <v/>
      </c>
      <c r="X85">
        <f>IF(AND(P85=5,A85&lt;&gt;ProvSelCode),D85,NA())</f>
        <v/>
      </c>
      <c r="Y85">
        <f>IF(A85=ProvSelCode,D85,NA())</f>
        <v/>
      </c>
      <c r="Z85" t="n">
        <v>4</v>
      </c>
      <c r="AA85">
        <f>INDEX($B$82:$B$91,MATCH(Z85,$O$82:$O$91,0))</f>
        <v/>
      </c>
      <c r="AB85" s="138">
        <f>INDEX($M$82:$M$91,MATCH(Z85,$O$82:$O$91,0))</f>
        <v/>
      </c>
      <c r="AC85" s="138">
        <f>SUMIFS(IPCP_Loyer,IPCP_Annee,2025,IPCP_Code,$A85)/SUMIFS(IPCP_Loyer,IPCP_Annee,2024,IPCP_Code,$A85)-1</f>
        <v/>
      </c>
      <c r="AD85">
        <f>RANK(AC85,$AC$82:$AC$91,0)</f>
        <v/>
      </c>
      <c r="AJ85" t="n">
        <v>1226.55</v>
      </c>
      <c r="AK85" t="n">
        <v>1261.36</v>
      </c>
      <c r="AM85" t="n">
        <v>1346.47</v>
      </c>
      <c r="AN85" t="n">
        <v>1230.15</v>
      </c>
      <c r="AP85" t="n">
        <v>1011.71</v>
      </c>
      <c r="AQ85" t="n">
        <v>1169.02</v>
      </c>
    </row>
    <row r="86">
      <c r="A86" t="inlineStr">
        <is>
          <t>NS</t>
        </is>
      </c>
      <c r="B86" t="inlineStr">
        <is>
          <t>Nouvelle-Écosse</t>
        </is>
      </c>
      <c r="C86" t="n">
        <v>1948.06</v>
      </c>
      <c r="D86" t="n">
        <v>1138.96</v>
      </c>
      <c r="E86" s="136">
        <f>SUMIFS(IPCP_Loyer,IPCP_Annee,AnneeCarte,IPCP_Code,$A86)</f>
        <v/>
      </c>
      <c r="F86" s="136">
        <f>SUMIFS(IPCP_Loyer,IPCP_Annee,AnneeCarte-1,IPCP_Code,$A86)</f>
        <v/>
      </c>
      <c r="G86" s="136">
        <f>SUMIFS(IPCP_Loyer,IPCP_Annee,2019,IPCP_Code,$A86)</f>
        <v/>
      </c>
      <c r="H86" s="136">
        <f>SUMIFS(IPCP_Ens,IPCP_Annee,AnneeCarte,IPCP_Code,$A86)</f>
        <v/>
      </c>
      <c r="I86" s="136">
        <f>SUMIFS(IPCP_Ens,IPCP_Annee,2019,IPCP_Code,$A86)</f>
        <v/>
      </c>
      <c r="J86" s="138">
        <f>E86/F86-1</f>
        <v/>
      </c>
      <c r="K86" s="138">
        <f>E86/G86-1</f>
        <v/>
      </c>
      <c r="L86" s="138">
        <f>(E86/G86)/(H86/I86)-1</f>
        <v/>
      </c>
      <c r="M86" s="138">
        <f>CHOOSE(MATCH(IndCarte,ListeIndProv,0),J86,K86,L86)</f>
        <v/>
      </c>
      <c r="N86">
        <f>M86+ROW()/1E9</f>
        <v/>
      </c>
      <c r="O86">
        <f>RANK(N86,$N$82:$N$91,0)</f>
        <v/>
      </c>
      <c r="P86">
        <f>MATCH(M86,Seuils_Prov,1)</f>
        <v/>
      </c>
      <c r="Q86">
        <f>A86&amp;" "&amp;IF((M86)&gt;=0,"+","")&amp;FIXED((M86)*100,1)&amp;" %"</f>
        <v/>
      </c>
      <c r="R86">
        <f>C86+52</f>
        <v/>
      </c>
      <c r="S86">
        <f>D86+-22</f>
        <v/>
      </c>
      <c r="T86">
        <f>IF(AND(P86=1,A86&lt;&gt;ProvSelCode),D86,NA())</f>
        <v/>
      </c>
      <c r="U86">
        <f>IF(AND(P86=2,A86&lt;&gt;ProvSelCode),D86,NA())</f>
        <v/>
      </c>
      <c r="V86">
        <f>IF(AND(P86=3,A86&lt;&gt;ProvSelCode),D86,NA())</f>
        <v/>
      </c>
      <c r="W86">
        <f>IF(AND(P86=4,A86&lt;&gt;ProvSelCode),D86,NA())</f>
        <v/>
      </c>
      <c r="X86">
        <f>IF(AND(P86=5,A86&lt;&gt;ProvSelCode),D86,NA())</f>
        <v/>
      </c>
      <c r="Y86">
        <f>IF(A86=ProvSelCode,D86,NA())</f>
        <v/>
      </c>
      <c r="Z86" t="n">
        <v>5</v>
      </c>
      <c r="AA86">
        <f>INDEX($B$82:$B$91,MATCH(Z86,$O$82:$O$91,0))</f>
        <v/>
      </c>
      <c r="AB86" s="138">
        <f>INDEX($M$82:$M$91,MATCH(Z86,$O$82:$O$91,0))</f>
        <v/>
      </c>
      <c r="AC86" s="138">
        <f>SUMIFS(IPCP_Loyer,IPCP_Annee,2025,IPCP_Code,$A86)/SUMIFS(IPCP_Loyer,IPCP_Annee,2024,IPCP_Code,$A86)-1</f>
        <v/>
      </c>
      <c r="AD86">
        <f>RANK(AC86,$AC$82:$AC$91,0)</f>
        <v/>
      </c>
      <c r="AJ86" t="n">
        <v>1219.75</v>
      </c>
      <c r="AK86" t="n">
        <v>1264.43</v>
      </c>
      <c r="AM86" t="n">
        <v>1347.31</v>
      </c>
      <c r="AN86" t="n">
        <v>1232.88</v>
      </c>
      <c r="AP86" t="n">
        <v>1017.15</v>
      </c>
      <c r="AQ86" t="n">
        <v>1176.2</v>
      </c>
    </row>
    <row r="87">
      <c r="A87" t="inlineStr">
        <is>
          <t>ON</t>
        </is>
      </c>
      <c r="B87" t="inlineStr">
        <is>
          <t>Ontario</t>
        </is>
      </c>
      <c r="C87" t="n">
        <v>1663.82</v>
      </c>
      <c r="D87" t="n">
        <v>1150.82</v>
      </c>
      <c r="E87" s="136">
        <f>SUMIFS(IPCP_Loyer,IPCP_Annee,AnneeCarte,IPCP_Code,$A87)</f>
        <v/>
      </c>
      <c r="F87" s="136">
        <f>SUMIFS(IPCP_Loyer,IPCP_Annee,AnneeCarte-1,IPCP_Code,$A87)</f>
        <v/>
      </c>
      <c r="G87" s="136">
        <f>SUMIFS(IPCP_Loyer,IPCP_Annee,2019,IPCP_Code,$A87)</f>
        <v/>
      </c>
      <c r="H87" s="136">
        <f>SUMIFS(IPCP_Ens,IPCP_Annee,AnneeCarte,IPCP_Code,$A87)</f>
        <v/>
      </c>
      <c r="I87" s="136">
        <f>SUMIFS(IPCP_Ens,IPCP_Annee,2019,IPCP_Code,$A87)</f>
        <v/>
      </c>
      <c r="J87" s="138">
        <f>E87/F87-1</f>
        <v/>
      </c>
      <c r="K87" s="138">
        <f>E87/G87-1</f>
        <v/>
      </c>
      <c r="L87" s="138">
        <f>(E87/G87)/(H87/I87)-1</f>
        <v/>
      </c>
      <c r="M87" s="138">
        <f>CHOOSE(MATCH(IndCarte,ListeIndProv,0),J87,K87,L87)</f>
        <v/>
      </c>
      <c r="N87">
        <f>M87+ROW()/1E9</f>
        <v/>
      </c>
      <c r="O87">
        <f>RANK(N87,$N$82:$N$91,0)</f>
        <v/>
      </c>
      <c r="P87">
        <f>MATCH(M87,Seuils_Prov,1)</f>
        <v/>
      </c>
      <c r="Q87">
        <f>A87&amp;" "&amp;IF((M87)&gt;=0,"+","")&amp;FIXED((M87)*100,1)&amp;" %"</f>
        <v/>
      </c>
      <c r="R87">
        <f>C87+0</f>
        <v/>
      </c>
      <c r="S87">
        <f>D87+-32</f>
        <v/>
      </c>
      <c r="T87">
        <f>IF(AND(P87=1,A87&lt;&gt;ProvSelCode),D87,NA())</f>
        <v/>
      </c>
      <c r="U87">
        <f>IF(AND(P87=2,A87&lt;&gt;ProvSelCode),D87,NA())</f>
        <v/>
      </c>
      <c r="V87">
        <f>IF(AND(P87=3,A87&lt;&gt;ProvSelCode),D87,NA())</f>
        <v/>
      </c>
      <c r="W87">
        <f>IF(AND(P87=4,A87&lt;&gt;ProvSelCode),D87,NA())</f>
        <v/>
      </c>
      <c r="X87">
        <f>IF(AND(P87=5,A87&lt;&gt;ProvSelCode),D87,NA())</f>
        <v/>
      </c>
      <c r="Y87">
        <f>IF(A87=ProvSelCode,D87,NA())</f>
        <v/>
      </c>
      <c r="Z87" t="n">
        <v>6</v>
      </c>
      <c r="AA87">
        <f>INDEX($B$82:$B$91,MATCH(Z87,$O$82:$O$91,0))</f>
        <v/>
      </c>
      <c r="AB87" s="138">
        <f>INDEX($M$82:$M$91,MATCH(Z87,$O$82:$O$91,0))</f>
        <v/>
      </c>
      <c r="AC87" s="138">
        <f>SUMIFS(IPCP_Loyer,IPCP_Annee,2025,IPCP_Code,$A87)/SUMIFS(IPCP_Loyer,IPCP_Annee,2024,IPCP_Code,$A87)-1</f>
        <v/>
      </c>
      <c r="AD87">
        <f>RANK(AC87,$AC$82:$AC$91,0)</f>
        <v/>
      </c>
      <c r="AJ87" t="n">
        <v>1223.3</v>
      </c>
      <c r="AK87" t="n">
        <v>1269.16</v>
      </c>
      <c r="AM87" t="n">
        <v>1346.93</v>
      </c>
      <c r="AN87" t="n">
        <v>1237.33</v>
      </c>
      <c r="AP87" t="n">
        <v>1021.75</v>
      </c>
      <c r="AQ87" t="n">
        <v>1176.57</v>
      </c>
    </row>
    <row r="88">
      <c r="A88" t="inlineStr">
        <is>
          <t>QC</t>
        </is>
      </c>
      <c r="B88" t="inlineStr">
        <is>
          <t>Québec</t>
        </is>
      </c>
      <c r="C88" t="n">
        <v>1808.59</v>
      </c>
      <c r="D88" t="n">
        <v>1205.13</v>
      </c>
      <c r="E88" s="136">
        <f>SUMIFS(IPCP_Loyer,IPCP_Annee,AnneeCarte,IPCP_Code,$A88)</f>
        <v/>
      </c>
      <c r="F88" s="136">
        <f>SUMIFS(IPCP_Loyer,IPCP_Annee,AnneeCarte-1,IPCP_Code,$A88)</f>
        <v/>
      </c>
      <c r="G88" s="136">
        <f>SUMIFS(IPCP_Loyer,IPCP_Annee,2019,IPCP_Code,$A88)</f>
        <v/>
      </c>
      <c r="H88" s="136">
        <f>SUMIFS(IPCP_Ens,IPCP_Annee,AnneeCarte,IPCP_Code,$A88)</f>
        <v/>
      </c>
      <c r="I88" s="136">
        <f>SUMIFS(IPCP_Ens,IPCP_Annee,2019,IPCP_Code,$A88)</f>
        <v/>
      </c>
      <c r="J88" s="138">
        <f>E88/F88-1</f>
        <v/>
      </c>
      <c r="K88" s="138">
        <f>E88/G88-1</f>
        <v/>
      </c>
      <c r="L88" s="138">
        <f>(E88/G88)/(H88/I88)-1</f>
        <v/>
      </c>
      <c r="M88" s="138">
        <f>CHOOSE(MATCH(IndCarte,ListeIndProv,0),J88,K88,L88)</f>
        <v/>
      </c>
      <c r="N88">
        <f>M88+ROW()/1E9</f>
        <v/>
      </c>
      <c r="O88">
        <f>RANK(N88,$N$82:$N$91,0)</f>
        <v/>
      </c>
      <c r="P88">
        <f>MATCH(M88,Seuils_Prov,1)</f>
        <v/>
      </c>
      <c r="Q88">
        <f>A88&amp;" "&amp;IF((M88)&gt;=0,"+","")&amp;FIXED((M88)*100,1)&amp;" %"</f>
        <v/>
      </c>
      <c r="R88">
        <f>C88+0</f>
        <v/>
      </c>
      <c r="S88">
        <f>D88+-32</f>
        <v/>
      </c>
      <c r="T88">
        <f>IF(AND(P88=1,A88&lt;&gt;ProvSelCode),D88,NA())</f>
        <v/>
      </c>
      <c r="U88">
        <f>IF(AND(P88=2,A88&lt;&gt;ProvSelCode),D88,NA())</f>
        <v/>
      </c>
      <c r="V88">
        <f>IF(AND(P88=3,A88&lt;&gt;ProvSelCode),D88,NA())</f>
        <v/>
      </c>
      <c r="W88">
        <f>IF(AND(P88=4,A88&lt;&gt;ProvSelCode),D88,NA())</f>
        <v/>
      </c>
      <c r="X88">
        <f>IF(AND(P88=5,A88&lt;&gt;ProvSelCode),D88,NA())</f>
        <v/>
      </c>
      <c r="Y88">
        <f>IF(A88=ProvSelCode,D88,NA())</f>
        <v/>
      </c>
      <c r="Z88" t="n">
        <v>7</v>
      </c>
      <c r="AA88">
        <f>INDEX($B$82:$B$91,MATCH(Z88,$O$82:$O$91,0))</f>
        <v/>
      </c>
      <c r="AB88" s="138">
        <f>INDEX($M$82:$M$91,MATCH(Z88,$O$82:$O$91,0))</f>
        <v/>
      </c>
      <c r="AC88" s="138">
        <f>SUMIFS(IPCP_Loyer,IPCP_Annee,2025,IPCP_Code,$A88)/SUMIFS(IPCP_Loyer,IPCP_Annee,2024,IPCP_Code,$A88)-1</f>
        <v/>
      </c>
      <c r="AD88">
        <f>RANK(AC88,$AC$82:$AC$91,0)</f>
        <v/>
      </c>
      <c r="AJ88" t="n">
        <v>1243.03</v>
      </c>
      <c r="AK88" t="n">
        <v>1246.11</v>
      </c>
      <c r="AM88" t="n">
        <v>1350.74</v>
      </c>
      <c r="AN88" t="n">
        <v>1233.58</v>
      </c>
      <c r="AP88" t="n">
        <v>1023.9</v>
      </c>
      <c r="AQ88" t="n">
        <v>1176.04</v>
      </c>
    </row>
    <row r="89">
      <c r="A89" t="inlineStr">
        <is>
          <t>SK</t>
        </is>
      </c>
      <c r="B89" t="inlineStr">
        <is>
          <t>Saskatchewan</t>
        </is>
      </c>
      <c r="C89" t="n">
        <v>1457.98</v>
      </c>
      <c r="D89" t="n">
        <v>1232.55</v>
      </c>
      <c r="E89" s="136">
        <f>SUMIFS(IPCP_Loyer,IPCP_Annee,AnneeCarte,IPCP_Code,$A89)</f>
        <v/>
      </c>
      <c r="F89" s="136">
        <f>SUMIFS(IPCP_Loyer,IPCP_Annee,AnneeCarte-1,IPCP_Code,$A89)</f>
        <v/>
      </c>
      <c r="G89" s="136">
        <f>SUMIFS(IPCP_Loyer,IPCP_Annee,2019,IPCP_Code,$A89)</f>
        <v/>
      </c>
      <c r="H89" s="136">
        <f>SUMIFS(IPCP_Ens,IPCP_Annee,AnneeCarte,IPCP_Code,$A89)</f>
        <v/>
      </c>
      <c r="I89" s="136">
        <f>SUMIFS(IPCP_Ens,IPCP_Annee,2019,IPCP_Code,$A89)</f>
        <v/>
      </c>
      <c r="J89" s="138">
        <f>E89/F89-1</f>
        <v/>
      </c>
      <c r="K89" s="138">
        <f>E89/G89-1</f>
        <v/>
      </c>
      <c r="L89" s="138">
        <f>(E89/G89)/(H89/I89)-1</f>
        <v/>
      </c>
      <c r="M89" s="138">
        <f>CHOOSE(MATCH(IndCarte,ListeIndProv,0),J89,K89,L89)</f>
        <v/>
      </c>
      <c r="N89">
        <f>M89+ROW()/1E9</f>
        <v/>
      </c>
      <c r="O89">
        <f>RANK(N89,$N$82:$N$91,0)</f>
        <v/>
      </c>
      <c r="P89">
        <f>MATCH(M89,Seuils_Prov,1)</f>
        <v/>
      </c>
      <c r="Q89">
        <f>A89&amp;" "&amp;IF((M89)&gt;=0,"+","")&amp;FIXED((M89)*100,1)&amp;" %"</f>
        <v/>
      </c>
      <c r="R89">
        <f>C89+0</f>
        <v/>
      </c>
      <c r="S89">
        <f>D89+-32</f>
        <v/>
      </c>
      <c r="T89">
        <f>IF(AND(P89=1,A89&lt;&gt;ProvSelCode),D89,NA())</f>
        <v/>
      </c>
      <c r="U89">
        <f>IF(AND(P89=2,A89&lt;&gt;ProvSelCode),D89,NA())</f>
        <v/>
      </c>
      <c r="V89">
        <f>IF(AND(P89=3,A89&lt;&gt;ProvSelCode),D89,NA())</f>
        <v/>
      </c>
      <c r="W89">
        <f>IF(AND(P89=4,A89&lt;&gt;ProvSelCode),D89,NA())</f>
        <v/>
      </c>
      <c r="X89">
        <f>IF(AND(P89=5,A89&lt;&gt;ProvSelCode),D89,NA())</f>
        <v/>
      </c>
      <c r="Y89">
        <f>IF(A89=ProvSelCode,D89,NA())</f>
        <v/>
      </c>
      <c r="Z89" t="n">
        <v>8</v>
      </c>
      <c r="AA89">
        <f>INDEX($B$82:$B$91,MATCH(Z89,$O$82:$O$91,0))</f>
        <v/>
      </c>
      <c r="AB89" s="138">
        <f>INDEX($M$82:$M$91,MATCH(Z89,$O$82:$O$91,0))</f>
        <v/>
      </c>
      <c r="AC89" s="138">
        <f>SUMIFS(IPCP_Loyer,IPCP_Annee,2025,IPCP_Code,$A89)/SUMIFS(IPCP_Loyer,IPCP_Annee,2024,IPCP_Code,$A89)-1</f>
        <v/>
      </c>
      <c r="AD89">
        <f>RANK(AC89,$AC$82:$AC$91,0)</f>
        <v/>
      </c>
      <c r="AM89" t="n">
        <v>1354.72</v>
      </c>
      <c r="AN89" t="n">
        <v>1218.75</v>
      </c>
      <c r="AP89" t="n">
        <v>1025.6</v>
      </c>
      <c r="AQ89" t="n">
        <v>1168.11</v>
      </c>
    </row>
    <row r="90">
      <c r="A90" t="inlineStr">
        <is>
          <t>NL</t>
        </is>
      </c>
      <c r="B90" t="inlineStr">
        <is>
          <t>Terre-Neuve-et-Labrador</t>
        </is>
      </c>
      <c r="C90" t="n">
        <v>1902.85</v>
      </c>
      <c r="D90" t="n">
        <v>1278.4</v>
      </c>
      <c r="E90" s="136">
        <f>SUMIFS(IPCP_Loyer,IPCP_Annee,AnneeCarte,IPCP_Code,$A90)</f>
        <v/>
      </c>
      <c r="F90" s="136">
        <f>SUMIFS(IPCP_Loyer,IPCP_Annee,AnneeCarte-1,IPCP_Code,$A90)</f>
        <v/>
      </c>
      <c r="G90" s="136">
        <f>SUMIFS(IPCP_Loyer,IPCP_Annee,2019,IPCP_Code,$A90)</f>
        <v/>
      </c>
      <c r="H90" s="136">
        <f>SUMIFS(IPCP_Ens,IPCP_Annee,AnneeCarte,IPCP_Code,$A90)</f>
        <v/>
      </c>
      <c r="I90" s="136">
        <f>SUMIFS(IPCP_Ens,IPCP_Annee,2019,IPCP_Code,$A90)</f>
        <v/>
      </c>
      <c r="J90" s="138">
        <f>E90/F90-1</f>
        <v/>
      </c>
      <c r="K90" s="138">
        <f>E90/G90-1</f>
        <v/>
      </c>
      <c r="L90" s="138">
        <f>(E90/G90)/(H90/I90)-1</f>
        <v/>
      </c>
      <c r="M90" s="138">
        <f>CHOOSE(MATCH(IndCarte,ListeIndProv,0),J90,K90,L90)</f>
        <v/>
      </c>
      <c r="N90">
        <f>M90+ROW()/1E9</f>
        <v/>
      </c>
      <c r="O90">
        <f>RANK(N90,$N$82:$N$91,0)</f>
        <v/>
      </c>
      <c r="P90">
        <f>MATCH(M90,Seuils_Prov,1)</f>
        <v/>
      </c>
      <c r="Q90">
        <f>A90&amp;" "&amp;IF((M90)&gt;=0,"+","")&amp;FIXED((M90)*100,1)&amp;" %"</f>
        <v/>
      </c>
      <c r="R90">
        <f>C90+0</f>
        <v/>
      </c>
      <c r="S90">
        <f>D90+-32</f>
        <v/>
      </c>
      <c r="T90">
        <f>IF(AND(P90=1,A90&lt;&gt;ProvSelCode),D90,NA())</f>
        <v/>
      </c>
      <c r="U90">
        <f>IF(AND(P90=2,A90&lt;&gt;ProvSelCode),D90,NA())</f>
        <v/>
      </c>
      <c r="V90">
        <f>IF(AND(P90=3,A90&lt;&gt;ProvSelCode),D90,NA())</f>
        <v/>
      </c>
      <c r="W90">
        <f>IF(AND(P90=4,A90&lt;&gt;ProvSelCode),D90,NA())</f>
        <v/>
      </c>
      <c r="X90">
        <f>IF(AND(P90=5,A90&lt;&gt;ProvSelCode),D90,NA())</f>
        <v/>
      </c>
      <c r="Y90">
        <f>IF(A90=ProvSelCode,D90,NA())</f>
        <v/>
      </c>
      <c r="Z90" t="n">
        <v>9</v>
      </c>
      <c r="AA90">
        <f>INDEX($B$82:$B$91,MATCH(Z90,$O$82:$O$91,0))</f>
        <v/>
      </c>
      <c r="AB90" s="138">
        <f>INDEX($M$82:$M$91,MATCH(Z90,$O$82:$O$91,0))</f>
        <v/>
      </c>
      <c r="AC90" s="138">
        <f>SUMIFS(IPCP_Loyer,IPCP_Annee,2025,IPCP_Code,$A90)/SUMIFS(IPCP_Loyer,IPCP_Annee,2024,IPCP_Code,$A90)-1</f>
        <v/>
      </c>
      <c r="AD90">
        <f>RANK(AC90,$AC$82:$AC$91,0)</f>
        <v/>
      </c>
      <c r="AJ90" t="n">
        <v>1625.85</v>
      </c>
      <c r="AK90" t="n">
        <v>1262.8</v>
      </c>
      <c r="AM90" t="n">
        <v>1352.23</v>
      </c>
      <c r="AN90" t="n">
        <v>1218.51</v>
      </c>
      <c r="AP90" t="n">
        <v>1024.81</v>
      </c>
      <c r="AQ90" t="n">
        <v>1176.7</v>
      </c>
    </row>
    <row r="91">
      <c r="A91" t="inlineStr">
        <is>
          <t>PE</t>
        </is>
      </c>
      <c r="B91" t="inlineStr">
        <is>
          <t>Île-du-Prince-Édouard</t>
        </is>
      </c>
      <c r="C91" t="n">
        <v>1935.78</v>
      </c>
      <c r="D91" t="n">
        <v>1158.57</v>
      </c>
      <c r="E91" s="136">
        <f>SUMIFS(IPCP_Loyer,IPCP_Annee,AnneeCarte,IPCP_Code,$A91)</f>
        <v/>
      </c>
      <c r="F91" s="136">
        <f>SUMIFS(IPCP_Loyer,IPCP_Annee,AnneeCarte-1,IPCP_Code,$A91)</f>
        <v/>
      </c>
      <c r="G91" s="136">
        <f>SUMIFS(IPCP_Loyer,IPCP_Annee,2019,IPCP_Code,$A91)</f>
        <v/>
      </c>
      <c r="H91" s="136">
        <f>SUMIFS(IPCP_Ens,IPCP_Annee,AnneeCarte,IPCP_Code,$A91)</f>
        <v/>
      </c>
      <c r="I91" s="136">
        <f>SUMIFS(IPCP_Ens,IPCP_Annee,2019,IPCP_Code,$A91)</f>
        <v/>
      </c>
      <c r="J91" s="138">
        <f>E91/F91-1</f>
        <v/>
      </c>
      <c r="K91" s="138">
        <f>E91/G91-1</f>
        <v/>
      </c>
      <c r="L91" s="138">
        <f>(E91/G91)/(H91/I91)-1</f>
        <v/>
      </c>
      <c r="M91" s="138">
        <f>CHOOSE(MATCH(IndCarte,ListeIndProv,0),J91,K91,L91)</f>
        <v/>
      </c>
      <c r="N91">
        <f>M91+ROW()/1E9</f>
        <v/>
      </c>
      <c r="O91">
        <f>RANK(N91,$N$82:$N$91,0)</f>
        <v/>
      </c>
      <c r="P91">
        <f>MATCH(M91,Seuils_Prov,1)</f>
        <v/>
      </c>
      <c r="Q91">
        <f>A91&amp;" "&amp;IF((M91)&gt;=0,"+","")&amp;FIXED((M91)*100,1)&amp;" %"</f>
        <v/>
      </c>
      <c r="R91">
        <f>C91+44</f>
        <v/>
      </c>
      <c r="S91">
        <f>D91+26</f>
        <v/>
      </c>
      <c r="T91">
        <f>IF(AND(P91=1,A91&lt;&gt;ProvSelCode),D91,NA())</f>
        <v/>
      </c>
      <c r="U91">
        <f>IF(AND(P91=2,A91&lt;&gt;ProvSelCode),D91,NA())</f>
        <v/>
      </c>
      <c r="V91">
        <f>IF(AND(P91=3,A91&lt;&gt;ProvSelCode),D91,NA())</f>
        <v/>
      </c>
      <c r="W91">
        <f>IF(AND(P91=4,A91&lt;&gt;ProvSelCode),D91,NA())</f>
        <v/>
      </c>
      <c r="X91">
        <f>IF(AND(P91=5,A91&lt;&gt;ProvSelCode),D91,NA())</f>
        <v/>
      </c>
      <c r="Y91">
        <f>IF(A91=ProvSelCode,D91,NA())</f>
        <v/>
      </c>
      <c r="Z91" t="n">
        <v>10</v>
      </c>
      <c r="AA91">
        <f>INDEX($B$82:$B$91,MATCH(Z91,$O$82:$O$91,0))</f>
        <v/>
      </c>
      <c r="AB91" s="138">
        <f>INDEX($M$82:$M$91,MATCH(Z91,$O$82:$O$91,0))</f>
        <v/>
      </c>
      <c r="AC91" s="138">
        <f>SUMIFS(IPCP_Loyer,IPCP_Annee,2025,IPCP_Code,$A91)/SUMIFS(IPCP_Loyer,IPCP_Annee,2024,IPCP_Code,$A91)-1</f>
        <v/>
      </c>
      <c r="AD91">
        <f>RANK(AC91,$AC$82:$AC$91,0)</f>
        <v/>
      </c>
      <c r="AJ91" t="n">
        <v>1564.4</v>
      </c>
      <c r="AK91" t="n">
        <v>1194.02</v>
      </c>
      <c r="AM91" t="n">
        <v>1349.85</v>
      </c>
      <c r="AN91" t="n">
        <v>1215.37</v>
      </c>
      <c r="AP91" t="n">
        <v>1029.94</v>
      </c>
      <c r="AQ91" t="n">
        <v>1181.22</v>
      </c>
    </row>
    <row r="92">
      <c r="A92" t="inlineStr">
        <is>
          <t>CA</t>
        </is>
      </c>
      <c r="B92" t="inlineStr">
        <is>
          <t>Canada</t>
        </is>
      </c>
      <c r="E92" s="136">
        <f>SUMIFS(IPCP_Loyer,IPCP_Annee,AnneeCarte,IPCP_Code,$A92)</f>
        <v/>
      </c>
      <c r="F92" s="136">
        <f>SUMIFS(IPCP_Loyer,IPCP_Annee,AnneeCarte-1,IPCP_Code,$A92)</f>
        <v/>
      </c>
      <c r="G92" s="136">
        <f>SUMIFS(IPCP_Loyer,IPCP_Annee,2019,IPCP_Code,$A92)</f>
        <v/>
      </c>
      <c r="H92" s="136">
        <f>SUMIFS(IPCP_Ens,IPCP_Annee,AnneeCarte,IPCP_Code,$A92)</f>
        <v/>
      </c>
      <c r="I92" s="136">
        <f>SUMIFS(IPCP_Ens,IPCP_Annee,2019,IPCP_Code,$A92)</f>
        <v/>
      </c>
      <c r="J92" s="138">
        <f>E92/F92-1</f>
        <v/>
      </c>
      <c r="K92" s="138">
        <f>E92/G92-1</f>
        <v/>
      </c>
      <c r="L92" s="138">
        <f>(E92/G92)/(H92/I92)-1</f>
        <v/>
      </c>
      <c r="M92" s="138">
        <f>CHOOSE(MATCH(IndCarte,ListeIndProv,0),J92,K92,L92)</f>
        <v/>
      </c>
      <c r="AC92" s="138">
        <f>SUMIFS(IPCP_Loyer,IPCP_Annee,2025,IPCP_Code,$A92)/SUMIFS(IPCP_Loyer,IPCP_Annee,2024,IPCP_Code,$A92)-1</f>
        <v/>
      </c>
      <c r="AJ92" t="n">
        <v>1560.96</v>
      </c>
      <c r="AK92" t="n">
        <v>1127.72</v>
      </c>
      <c r="AM92" t="n">
        <v>1344.87</v>
      </c>
      <c r="AN92" t="n">
        <v>1222.63</v>
      </c>
      <c r="AP92" t="n">
        <v>1027.78</v>
      </c>
      <c r="AQ92" t="n">
        <v>1178.71</v>
      </c>
    </row>
    <row r="93">
      <c r="AJ93" t="n">
        <v>1490.23</v>
      </c>
      <c r="AK93" t="n">
        <v>1134.85</v>
      </c>
      <c r="AM93" t="n">
        <v>1343.87</v>
      </c>
      <c r="AN93" t="n">
        <v>1215.35</v>
      </c>
      <c r="AP93" t="n">
        <v>1017.99</v>
      </c>
      <c r="AQ93" t="n">
        <v>1177.52</v>
      </c>
    </row>
    <row r="94">
      <c r="A94" t="inlineStr">
        <is>
          <t>Seuils (quintiles)</t>
        </is>
      </c>
      <c r="B94" s="138">
        <f>PERCENTILE(ProvValeurs,0)</f>
        <v/>
      </c>
      <c r="C94">
        <f>IF((B94)&gt;=0,"+","")&amp;FIXED((B94)*100,1)&amp;" %"</f>
        <v/>
      </c>
      <c r="E94" t="inlineStr">
        <is>
          <t>Code choisi</t>
        </is>
      </c>
      <c r="F94">
        <f>INDEX(ProvCodes,MATCH(ProvSel,ProvNoms,0))</f>
        <v/>
      </c>
      <c r="AJ94" t="n">
        <v>1513.08</v>
      </c>
      <c r="AK94" t="n">
        <v>1322.57</v>
      </c>
      <c r="AM94" t="n">
        <v>1341.88</v>
      </c>
      <c r="AN94" t="n">
        <v>1214.85</v>
      </c>
      <c r="AP94" t="n">
        <v>1010.57</v>
      </c>
      <c r="AQ94" t="n">
        <v>1172</v>
      </c>
    </row>
    <row r="95">
      <c r="B95" s="138">
        <f>PERCENTILE(ProvValeurs,0.2)</f>
        <v/>
      </c>
      <c r="C95">
        <f>IF((B95)&gt;=0,"+","")&amp;FIXED((B95)*100,1)&amp;" %"</f>
        <v/>
      </c>
      <c r="AJ95" t="n">
        <v>1574.05</v>
      </c>
      <c r="AK95" t="n">
        <v>1316.3</v>
      </c>
      <c r="AM95" t="n">
        <v>1339.63</v>
      </c>
      <c r="AN95" t="n">
        <v>1225.22</v>
      </c>
      <c r="AP95" t="n">
        <v>1011.7</v>
      </c>
      <c r="AQ95" t="n">
        <v>1178.87</v>
      </c>
    </row>
    <row r="96">
      <c r="B96" s="138">
        <f>PERCENTILE(ProvValeurs,0.4)</f>
        <v/>
      </c>
      <c r="C96">
        <f>IF((B96)&gt;=0,"+","")&amp;FIXED((B96)*100,1)&amp;" %"</f>
        <v/>
      </c>
      <c r="AJ96" t="n">
        <v>1571.76</v>
      </c>
      <c r="AK96" t="n">
        <v>1300.6</v>
      </c>
      <c r="AM96" t="n">
        <v>1335</v>
      </c>
      <c r="AN96" t="n">
        <v>1228.87</v>
      </c>
      <c r="AP96" t="n">
        <v>1016.03</v>
      </c>
      <c r="AQ96" t="n">
        <v>1179.17</v>
      </c>
    </row>
    <row r="97">
      <c r="B97" s="138">
        <f>PERCENTILE(ProvValeurs,0.6)</f>
        <v/>
      </c>
      <c r="C97">
        <f>IF((B97)&gt;=0,"+","")&amp;FIXED((B97)*100,1)&amp;" %"</f>
        <v/>
      </c>
      <c r="AJ97" t="n">
        <v>1576.66</v>
      </c>
      <c r="AK97" t="n">
        <v>1287.29</v>
      </c>
      <c r="AM97" t="n">
        <v>1332.07</v>
      </c>
      <c r="AN97" t="n">
        <v>1229.01</v>
      </c>
      <c r="AP97" t="n">
        <v>1019.06</v>
      </c>
      <c r="AQ97" t="n">
        <v>1182.15</v>
      </c>
    </row>
    <row r="98">
      <c r="B98" s="138">
        <f>PERCENTILE(ProvValeurs,0.8)</f>
        <v/>
      </c>
      <c r="C98">
        <f>IF((B98)&gt;=0,"+","")&amp;FIXED((B98)*100,1)&amp;" %"</f>
        <v/>
      </c>
      <c r="AJ98" t="n">
        <v>1578.8</v>
      </c>
      <c r="AK98" t="n">
        <v>1294.69</v>
      </c>
      <c r="AM98" t="n">
        <v>1333.61</v>
      </c>
      <c r="AN98" t="n">
        <v>1220.32</v>
      </c>
      <c r="AP98" t="n">
        <v>1014.38</v>
      </c>
      <c r="AQ98" t="n">
        <v>1181.46</v>
      </c>
    </row>
    <row r="99">
      <c r="AJ99" t="n">
        <v>1587.17</v>
      </c>
      <c r="AK99" t="n">
        <v>1294.12</v>
      </c>
      <c r="AM99" t="n">
        <v>1332.25</v>
      </c>
      <c r="AN99" t="n">
        <v>1222.58</v>
      </c>
      <c r="AP99" t="n">
        <v>1021.43</v>
      </c>
      <c r="AQ99" t="n">
        <v>1187.99</v>
      </c>
    </row>
    <row r="100">
      <c r="AJ100" t="n">
        <v>1593.4</v>
      </c>
      <c r="AK100" t="n">
        <v>1271.23</v>
      </c>
      <c r="AM100" t="n">
        <v>1330.14</v>
      </c>
      <c r="AN100" t="n">
        <v>1217.6</v>
      </c>
      <c r="AP100" t="n">
        <v>1017.79</v>
      </c>
      <c r="AQ100" t="n">
        <v>1188.49</v>
      </c>
    </row>
    <row r="101">
      <c r="A101" s="46" t="inlineStr">
        <is>
          <t>Année</t>
        </is>
      </c>
      <c r="B101" s="46" t="inlineStr">
        <is>
          <t>Province choisie</t>
        </is>
      </c>
      <c r="C101" s="46" t="inlineStr">
        <is>
          <t>Canada</t>
        </is>
      </c>
      <c r="AJ101" t="n">
        <v>1589.89</v>
      </c>
      <c r="AK101" t="n">
        <v>1263.6</v>
      </c>
      <c r="AM101" t="n">
        <v>1330.05</v>
      </c>
      <c r="AN101" t="n">
        <v>1207.67</v>
      </c>
      <c r="AP101" t="n">
        <v>1019.48</v>
      </c>
      <c r="AQ101" t="n">
        <v>1193.96</v>
      </c>
    </row>
    <row r="102">
      <c r="A102" t="inlineStr">
        <is>
          <t>2019</t>
        </is>
      </c>
      <c r="B102" s="136">
        <f>SUMIFS(IPCP_Loyer,IPCP_Annee,2019,IPCP_Code,ProvSelCode)/SUMIFS(IPCP_Loyer,IPCP_Annee,2019,IPCP_Code,ProvSelCode)*100</f>
        <v/>
      </c>
      <c r="C102" s="136">
        <f>SUMIFS(IPCP_Loyer,IPCP_Annee,2019,IPCP_Code,"CA")/SUMIFS(IPCP_Loyer,IPCP_Annee,2019,IPCP_Code,"CA")*100</f>
        <v/>
      </c>
      <c r="AJ102" t="n">
        <v>1607.67</v>
      </c>
      <c r="AK102" t="n">
        <v>1269.06</v>
      </c>
      <c r="AM102" t="n">
        <v>1325.67</v>
      </c>
      <c r="AN102" t="n">
        <v>1204.02</v>
      </c>
      <c r="AP102" t="n">
        <v>1017.59</v>
      </c>
      <c r="AQ102" t="n">
        <v>1203.23</v>
      </c>
    </row>
    <row r="103">
      <c r="A103" t="inlineStr">
        <is>
          <t>2020</t>
        </is>
      </c>
      <c r="B103" s="136">
        <f>SUMIFS(IPCP_Loyer,IPCP_Annee,2020,IPCP_Code,ProvSelCode)/SUMIFS(IPCP_Loyer,IPCP_Annee,2019,IPCP_Code,ProvSelCode)*100</f>
        <v/>
      </c>
      <c r="C103" s="136">
        <f>SUMIFS(IPCP_Loyer,IPCP_Annee,2020,IPCP_Code,"CA")/SUMIFS(IPCP_Loyer,IPCP_Annee,2019,IPCP_Code,"CA")*100</f>
        <v/>
      </c>
      <c r="AJ103" t="n">
        <v>1625.85</v>
      </c>
      <c r="AK103" t="n">
        <v>1262.8</v>
      </c>
      <c r="AM103" t="n">
        <v>1323.57</v>
      </c>
      <c r="AN103" t="n">
        <v>1203.73</v>
      </c>
      <c r="AP103" t="n">
        <v>1021.93</v>
      </c>
      <c r="AQ103" t="n">
        <v>1204.07</v>
      </c>
    </row>
    <row r="104">
      <c r="A104" t="inlineStr">
        <is>
          <t>2021</t>
        </is>
      </c>
      <c r="B104" s="136">
        <f>SUMIFS(IPCP_Loyer,IPCP_Annee,2021,IPCP_Code,ProvSelCode)/SUMIFS(IPCP_Loyer,IPCP_Annee,2019,IPCP_Code,ProvSelCode)*100</f>
        <v/>
      </c>
      <c r="C104" s="136">
        <f>SUMIFS(IPCP_Loyer,IPCP_Annee,2021,IPCP_Code,"CA")/SUMIFS(IPCP_Loyer,IPCP_Annee,2019,IPCP_Code,"CA")*100</f>
        <v/>
      </c>
      <c r="AM104" t="n">
        <v>1322.93</v>
      </c>
      <c r="AN104" t="n">
        <v>1205.41</v>
      </c>
      <c r="AP104" t="n">
        <v>1020.09</v>
      </c>
      <c r="AQ104" t="n">
        <v>1202.19</v>
      </c>
    </row>
    <row r="105">
      <c r="A105" t="inlineStr">
        <is>
          <t>2022</t>
        </is>
      </c>
      <c r="B105" s="136">
        <f>SUMIFS(IPCP_Loyer,IPCP_Annee,2022,IPCP_Code,ProvSelCode)/SUMIFS(IPCP_Loyer,IPCP_Annee,2019,IPCP_Code,ProvSelCode)*100</f>
        <v/>
      </c>
      <c r="C105" s="136">
        <f>SUMIFS(IPCP_Loyer,IPCP_Annee,2022,IPCP_Code,"CA")/SUMIFS(IPCP_Loyer,IPCP_Annee,2019,IPCP_Code,"CA")*100</f>
        <v/>
      </c>
      <c r="AJ105" t="n">
        <v>1929.4</v>
      </c>
      <c r="AK105" t="n">
        <v>1148.1</v>
      </c>
      <c r="AM105" t="n">
        <v>1325.94</v>
      </c>
      <c r="AN105" t="n">
        <v>1210.05</v>
      </c>
      <c r="AP105" t="n">
        <v>1025.81</v>
      </c>
      <c r="AQ105" t="n">
        <v>1192.55</v>
      </c>
    </row>
    <row r="106">
      <c r="A106" t="inlineStr">
        <is>
          <t>2023</t>
        </is>
      </c>
      <c r="B106" s="136">
        <f>SUMIFS(IPCP_Loyer,IPCP_Annee,2023,IPCP_Code,ProvSelCode)/SUMIFS(IPCP_Loyer,IPCP_Annee,2019,IPCP_Code,ProvSelCode)*100</f>
        <v/>
      </c>
      <c r="C106" s="136">
        <f>SUMIFS(IPCP_Loyer,IPCP_Annee,2023,IPCP_Code,"CA")/SUMIFS(IPCP_Loyer,IPCP_Annee,2019,IPCP_Code,"CA")*100</f>
        <v/>
      </c>
      <c r="AJ106" t="n">
        <v>1914.32</v>
      </c>
      <c r="AK106" t="n">
        <v>1125.78</v>
      </c>
      <c r="AM106" t="n">
        <v>1328.13</v>
      </c>
      <c r="AN106" t="n">
        <v>1222.16</v>
      </c>
      <c r="AP106" t="n">
        <v>1025.42</v>
      </c>
      <c r="AQ106" t="n">
        <v>1197.28</v>
      </c>
    </row>
    <row r="107">
      <c r="A107" t="inlineStr">
        <is>
          <t>2024</t>
        </is>
      </c>
      <c r="B107" s="136">
        <f>SUMIFS(IPCP_Loyer,IPCP_Annee,2024,IPCP_Code,ProvSelCode)/SUMIFS(IPCP_Loyer,IPCP_Annee,2019,IPCP_Code,ProvSelCode)*100</f>
        <v/>
      </c>
      <c r="C107" s="136">
        <f>SUMIFS(IPCP_Loyer,IPCP_Annee,2024,IPCP_Code,"CA")/SUMIFS(IPCP_Loyer,IPCP_Annee,2019,IPCP_Code,"CA")*100</f>
        <v/>
      </c>
      <c r="AJ107" t="n">
        <v>1897.59</v>
      </c>
      <c r="AK107" t="n">
        <v>1117.81</v>
      </c>
      <c r="AM107" t="n">
        <v>1322.39</v>
      </c>
      <c r="AN107" t="n">
        <v>1218.42</v>
      </c>
      <c r="AP107" t="n">
        <v>1022.05</v>
      </c>
      <c r="AQ107" t="n">
        <v>1200.91</v>
      </c>
    </row>
    <row r="108">
      <c r="A108" t="inlineStr">
        <is>
          <t>2025</t>
        </is>
      </c>
      <c r="B108" s="136">
        <f>SUMIFS(IPCP_Loyer,IPCP_Annee,2025,IPCP_Code,ProvSelCode)/SUMIFS(IPCP_Loyer,IPCP_Annee,2019,IPCP_Code,ProvSelCode)*100</f>
        <v/>
      </c>
      <c r="C108" s="136">
        <f>SUMIFS(IPCP_Loyer,IPCP_Annee,2025,IPCP_Code,"CA")/SUMIFS(IPCP_Loyer,IPCP_Annee,2019,IPCP_Code,"CA")*100</f>
        <v/>
      </c>
      <c r="AJ108" t="n">
        <v>1880.07</v>
      </c>
      <c r="AK108" t="n">
        <v>1147.33</v>
      </c>
      <c r="AM108" t="n">
        <v>1322.2</v>
      </c>
      <c r="AN108" t="n">
        <v>1214.33</v>
      </c>
      <c r="AP108" t="n">
        <v>1023.52</v>
      </c>
      <c r="AQ108" t="n">
        <v>1204.46</v>
      </c>
    </row>
    <row r="109">
      <c r="AJ109" t="n">
        <v>1864.7</v>
      </c>
      <c r="AK109" t="n">
        <v>1145.35</v>
      </c>
      <c r="AM109" t="n">
        <v>1316.31</v>
      </c>
      <c r="AN109" t="n">
        <v>1211.21</v>
      </c>
      <c r="AP109" t="n">
        <v>1026.14</v>
      </c>
      <c r="AQ109" t="n">
        <v>1204.39</v>
      </c>
    </row>
    <row r="110">
      <c r="AJ110" t="n">
        <v>1870.79</v>
      </c>
      <c r="AK110" t="n">
        <v>1160.84</v>
      </c>
      <c r="AM110" t="n">
        <v>1317.98</v>
      </c>
      <c r="AN110" t="n">
        <v>1214.34</v>
      </c>
      <c r="AP110" t="n">
        <v>1022.31</v>
      </c>
      <c r="AQ110" t="n">
        <v>1206.49</v>
      </c>
    </row>
    <row r="111">
      <c r="A111" s="46" t="inlineStr">
        <is>
          <t>ID</t>
        </is>
      </c>
      <c r="B111" s="46" t="inlineStr">
        <is>
          <t>Région</t>
        </is>
      </c>
      <c r="C111" s="46" t="inlineStr">
        <is>
          <t>x est</t>
        </is>
      </c>
      <c r="D111" s="46" t="inlineStr">
        <is>
          <t>y est</t>
        </is>
      </c>
      <c r="E111" s="46" t="inlineStr">
        <is>
          <t>x ouest</t>
        </is>
      </c>
      <c r="F111" s="46" t="inlineStr">
        <is>
          <t>y ouest</t>
        </is>
      </c>
      <c r="G111" s="46" t="inlineStr">
        <is>
          <t>Demandé</t>
        </is>
      </c>
      <c r="H111" s="46" t="inlineStr">
        <is>
          <t>Payé</t>
        </is>
      </c>
      <c r="I111" s="46" t="inlineStr">
        <is>
          <t>Écart $</t>
        </is>
      </c>
      <c r="J111" s="46" t="inlineStr">
        <is>
          <t>Écart %</t>
        </is>
      </c>
      <c r="K111" s="46" t="inlineStr">
        <is>
          <t>Valeur</t>
        </is>
      </c>
      <c r="L111" s="46" t="inlineStr">
        <is>
          <t>Classe</t>
        </is>
      </c>
      <c r="M111" s="46" t="inlineStr">
        <is>
          <t>Tri</t>
        </is>
      </c>
      <c r="N111" s="46" t="inlineStr">
        <is>
          <t>Rang</t>
        </is>
      </c>
      <c r="O111" s="46" t="inlineStr">
        <is>
          <t>y est c1</t>
        </is>
      </c>
      <c r="P111" s="46" t="inlineStr">
        <is>
          <t>y est c2</t>
        </is>
      </c>
      <c r="Q111" s="46" t="inlineStr">
        <is>
          <t>y est c3</t>
        </is>
      </c>
      <c r="R111" s="46" t="inlineStr">
        <is>
          <t>y est c4</t>
        </is>
      </c>
      <c r="S111" s="46" t="inlineStr">
        <is>
          <t>y est c5</t>
        </is>
      </c>
      <c r="T111" s="46" t="inlineStr">
        <is>
          <t>y ouest c1</t>
        </is>
      </c>
      <c r="U111" s="46" t="inlineStr">
        <is>
          <t>y ouest c2</t>
        </is>
      </c>
      <c r="V111" s="46" t="inlineStr">
        <is>
          <t>y ouest c3</t>
        </is>
      </c>
      <c r="W111" s="46" t="inlineStr">
        <is>
          <t>y ouest c4</t>
        </is>
      </c>
      <c r="X111" s="46" t="inlineStr">
        <is>
          <t>y ouest c5</t>
        </is>
      </c>
      <c r="AJ111" t="n">
        <v>1905.55</v>
      </c>
      <c r="AK111" t="n">
        <v>1172.41</v>
      </c>
      <c r="AM111" t="n">
        <v>1316.01</v>
      </c>
      <c r="AN111" t="n">
        <v>1217.66</v>
      </c>
      <c r="AP111" t="n">
        <v>1011.58</v>
      </c>
      <c r="AQ111" t="n">
        <v>1201.45</v>
      </c>
    </row>
    <row r="112">
      <c r="A112" t="n">
        <v>2</v>
      </c>
      <c r="B112" t="inlineStr">
        <is>
          <t>Halifax</t>
        </is>
      </c>
      <c r="C112" t="n">
        <v>1260.6</v>
      </c>
      <c r="D112" t="n">
        <v>1123.14</v>
      </c>
      <c r="E112" t="n">
        <v>1723.54</v>
      </c>
      <c r="F112" t="n">
        <v>1017.87</v>
      </c>
      <c r="G112" s="84">
        <f>SUMIFS(T_Loyer,T_ID,$A112,T_Est,"Demandé",T_Periode,"2026 T2")</f>
        <v/>
      </c>
      <c r="H112" s="84">
        <f>SUMIFS(T_Loyer,T_ID,$A112,T_Est,"Payé",T_Periode,"2026 T2")</f>
        <v/>
      </c>
      <c r="I112" s="139">
        <f>G112-H112</f>
        <v/>
      </c>
      <c r="J112" s="138">
        <f>G112/H112-1</f>
        <v/>
      </c>
      <c r="K112">
        <f>CHOOSE(MATCH(IndVilles,ListeIndVille,0),J112,I112,G112)</f>
        <v/>
      </c>
      <c r="L112">
        <f>MATCH(K112,Seuils_Ville,1)</f>
        <v/>
      </c>
      <c r="M112">
        <f>K112+ROW()/1E9</f>
        <v/>
      </c>
      <c r="N112">
        <f>RANK(M112,$M$112:$M$127,0)</f>
        <v/>
      </c>
      <c r="O112">
        <f>IF(AND(L112=1,A112&lt;&gt;VilleSelID),D112,NA())</f>
        <v/>
      </c>
      <c r="P112">
        <f>IF(AND(L112=2,A112&lt;&gt;VilleSelID),D112,NA())</f>
        <v/>
      </c>
      <c r="Q112">
        <f>IF(AND(L112=3,A112&lt;&gt;VilleSelID),D112,NA())</f>
        <v/>
      </c>
      <c r="R112">
        <f>IF(AND(L112=4,A112&lt;&gt;VilleSelID),D112,NA())</f>
        <v/>
      </c>
      <c r="S112">
        <f>IF(AND(L112=5,A112&lt;&gt;VilleSelID),D112,NA())</f>
        <v/>
      </c>
      <c r="T112">
        <f>IF(AND(L112=1,A112&lt;&gt;VilleSelID),F112,NA())</f>
        <v/>
      </c>
      <c r="U112">
        <f>IF(AND(L112=2,A112&lt;&gt;VilleSelID),F112,NA())</f>
        <v/>
      </c>
      <c r="V112">
        <f>IF(AND(L112=3,A112&lt;&gt;VilleSelID),F112,NA())</f>
        <v/>
      </c>
      <c r="W112">
        <f>IF(AND(L112=4,A112&lt;&gt;VilleSelID),F112,NA())</f>
        <v/>
      </c>
      <c r="X112">
        <f>IF(AND(L112=5,A112&lt;&gt;VilleSelID),F112,NA())</f>
        <v/>
      </c>
      <c r="AJ112" t="n">
        <v>1907.38</v>
      </c>
      <c r="AK112" t="n">
        <v>1159</v>
      </c>
      <c r="AM112" t="n">
        <v>1309.31</v>
      </c>
      <c r="AN112" t="n">
        <v>1208.09</v>
      </c>
      <c r="AP112" t="n">
        <v>1009.73</v>
      </c>
      <c r="AQ112" t="n">
        <v>1212.71</v>
      </c>
    </row>
    <row r="113">
      <c r="A113" t="n">
        <v>7</v>
      </c>
      <c r="B113" t="inlineStr">
        <is>
          <t>Montréal</t>
        </is>
      </c>
      <c r="C113" t="n">
        <v>1138.39</v>
      </c>
      <c r="D113" t="n">
        <v>1092.4</v>
      </c>
      <c r="E113" t="n">
        <v>1601.34</v>
      </c>
      <c r="F113" t="n">
        <v>987.12</v>
      </c>
      <c r="G113" s="84">
        <f>SUMIFS(T_Loyer,T_ID,$A113,T_Est,"Demandé",T_Periode,"2026 T2")</f>
        <v/>
      </c>
      <c r="H113" s="84">
        <f>SUMIFS(T_Loyer,T_ID,$A113,T_Est,"Payé",T_Periode,"2026 T2")</f>
        <v/>
      </c>
      <c r="I113" s="139">
        <f>G113-H113</f>
        <v/>
      </c>
      <c r="J113" s="138">
        <f>G113/H113-1</f>
        <v/>
      </c>
      <c r="K113">
        <f>CHOOSE(MATCH(IndVilles,ListeIndVille,0),J113,I113,G113)</f>
        <v/>
      </c>
      <c r="L113">
        <f>MATCH(K113,Seuils_Ville,1)</f>
        <v/>
      </c>
      <c r="M113">
        <f>K113+ROW()/1E9</f>
        <v/>
      </c>
      <c r="N113">
        <f>RANK(M113,$M$112:$M$127,0)</f>
        <v/>
      </c>
      <c r="O113">
        <f>IF(AND(L113=1,A113&lt;&gt;VilleSelID),D113,NA())</f>
        <v/>
      </c>
      <c r="P113">
        <f>IF(AND(L113=2,A113&lt;&gt;VilleSelID),D113,NA())</f>
        <v/>
      </c>
      <c r="Q113">
        <f>IF(AND(L113=3,A113&lt;&gt;VilleSelID),D113,NA())</f>
        <v/>
      </c>
      <c r="R113">
        <f>IF(AND(L113=4,A113&lt;&gt;VilleSelID),D113,NA())</f>
        <v/>
      </c>
      <c r="S113">
        <f>IF(AND(L113=5,A113&lt;&gt;VilleSelID),D113,NA())</f>
        <v/>
      </c>
      <c r="T113">
        <f>IF(AND(L113=1,A113&lt;&gt;VilleSelID),F113,NA())</f>
        <v/>
      </c>
      <c r="U113">
        <f>IF(AND(L113=2,A113&lt;&gt;VilleSelID),F113,NA())</f>
        <v/>
      </c>
      <c r="V113">
        <f>IF(AND(L113=3,A113&lt;&gt;VilleSelID),F113,NA())</f>
        <v/>
      </c>
      <c r="W113">
        <f>IF(AND(L113=4,A113&lt;&gt;VilleSelID),F113,NA())</f>
        <v/>
      </c>
      <c r="X113">
        <f>IF(AND(L113=5,A113&lt;&gt;VilleSelID),F113,NA())</f>
        <v/>
      </c>
      <c r="AJ113" t="n">
        <v>1913.03</v>
      </c>
      <c r="AK113" t="n">
        <v>1160.75</v>
      </c>
      <c r="AM113" t="n">
        <v>1291.85</v>
      </c>
      <c r="AN113" t="n">
        <v>1201.12</v>
      </c>
      <c r="AP113" t="n">
        <v>1015.95</v>
      </c>
      <c r="AQ113" t="n">
        <v>1216.76</v>
      </c>
    </row>
    <row r="114">
      <c r="A114" t="n">
        <v>8</v>
      </c>
      <c r="B114" t="inlineStr">
        <is>
          <t>Gatineau (Ottawa-Gatineau, partie québécoise)</t>
        </is>
      </c>
      <c r="C114" t="n">
        <v>1113</v>
      </c>
      <c r="D114" t="n">
        <v>1084.98</v>
      </c>
      <c r="E114" t="n">
        <v>1575.94</v>
      </c>
      <c r="F114" t="n">
        <v>979.7</v>
      </c>
      <c r="G114" s="84">
        <f>SUMIFS(T_Loyer,T_ID,$A114,T_Est,"Demandé",T_Periode,"2026 T2")</f>
        <v/>
      </c>
      <c r="H114" s="84">
        <f>SUMIFS(T_Loyer,T_ID,$A114,T_Est,"Payé",T_Periode,"2026 T2")</f>
        <v/>
      </c>
      <c r="I114" s="139">
        <f>G114-H114</f>
        <v/>
      </c>
      <c r="J114" s="138">
        <f>G114/H114-1</f>
        <v/>
      </c>
      <c r="K114">
        <f>CHOOSE(MATCH(IndVilles,ListeIndVille,0),J114,I114,G114)</f>
        <v/>
      </c>
      <c r="L114">
        <f>MATCH(K114,Seuils_Ville,1)</f>
        <v/>
      </c>
      <c r="M114">
        <f>K114+ROW()/1E9</f>
        <v/>
      </c>
      <c r="N114">
        <f>RANK(M114,$M$112:$M$127,0)</f>
        <v/>
      </c>
      <c r="O114">
        <f>IF(AND(L114=1,A114&lt;&gt;VilleSelID),D114,NA())</f>
        <v/>
      </c>
      <c r="P114">
        <f>IF(AND(L114=2,A114&lt;&gt;VilleSelID),D114,NA())</f>
        <v/>
      </c>
      <c r="Q114">
        <f>IF(AND(L114=3,A114&lt;&gt;VilleSelID),D114,NA())</f>
        <v/>
      </c>
      <c r="R114">
        <f>IF(AND(L114=4,A114&lt;&gt;VilleSelID),D114,NA())</f>
        <v/>
      </c>
      <c r="S114">
        <f>IF(AND(L114=5,A114&lt;&gt;VilleSelID),D114,NA())</f>
        <v/>
      </c>
      <c r="T114">
        <f>IF(AND(L114=1,A114&lt;&gt;VilleSelID),F114,NA())</f>
        <v/>
      </c>
      <c r="U114">
        <f>IF(AND(L114=2,A114&lt;&gt;VilleSelID),F114,NA())</f>
        <v/>
      </c>
      <c r="V114">
        <f>IF(AND(L114=3,A114&lt;&gt;VilleSelID),F114,NA())</f>
        <v/>
      </c>
      <c r="W114">
        <f>IF(AND(L114=4,A114&lt;&gt;VilleSelID),F114,NA())</f>
        <v/>
      </c>
      <c r="X114">
        <f>IF(AND(L114=5,A114&lt;&gt;VilleSelID),F114,NA())</f>
        <v/>
      </c>
      <c r="AJ114" t="n">
        <v>1929.4</v>
      </c>
      <c r="AK114" t="n">
        <v>1148.1</v>
      </c>
      <c r="AM114" t="n">
        <v>1286.92</v>
      </c>
      <c r="AN114" t="n">
        <v>1195.24</v>
      </c>
      <c r="AP114" t="n">
        <v>1020.41</v>
      </c>
      <c r="AQ114" t="n">
        <v>1215.81</v>
      </c>
    </row>
    <row r="115">
      <c r="A115" t="n">
        <v>9</v>
      </c>
      <c r="B115" t="inlineStr">
        <is>
          <t>Québec</t>
        </is>
      </c>
      <c r="C115" t="n">
        <v>1158.95</v>
      </c>
      <c r="D115" t="n">
        <v>1123.16</v>
      </c>
      <c r="E115" t="n">
        <v>1621.89</v>
      </c>
      <c r="F115" t="n">
        <v>1017.89</v>
      </c>
      <c r="G115" s="84">
        <f>SUMIFS(T_Loyer,T_ID,$A115,T_Est,"Demandé",T_Periode,"2026 T2")</f>
        <v/>
      </c>
      <c r="H115" s="84">
        <f>SUMIFS(T_Loyer,T_ID,$A115,T_Est,"Payé",T_Periode,"2026 T2")</f>
        <v/>
      </c>
      <c r="I115" s="139">
        <f>G115-H115</f>
        <v/>
      </c>
      <c r="J115" s="138">
        <f>G115/H115-1</f>
        <v/>
      </c>
      <c r="K115">
        <f>CHOOSE(MATCH(IndVilles,ListeIndVille,0),J115,I115,G115)</f>
        <v/>
      </c>
      <c r="L115">
        <f>MATCH(K115,Seuils_Ville,1)</f>
        <v/>
      </c>
      <c r="M115">
        <f>K115+ROW()/1E9</f>
        <v/>
      </c>
      <c r="N115">
        <f>RANK(M115,$M$112:$M$127,0)</f>
        <v/>
      </c>
      <c r="O115">
        <f>IF(AND(L115=1,A115&lt;&gt;VilleSelID),D115,NA())</f>
        <v/>
      </c>
      <c r="P115">
        <f>IF(AND(L115=2,A115&lt;&gt;VilleSelID),D115,NA())</f>
        <v/>
      </c>
      <c r="Q115">
        <f>IF(AND(L115=3,A115&lt;&gt;VilleSelID),D115,NA())</f>
        <v/>
      </c>
      <c r="R115">
        <f>IF(AND(L115=4,A115&lt;&gt;VilleSelID),D115,NA())</f>
        <v/>
      </c>
      <c r="S115">
        <f>IF(AND(L115=5,A115&lt;&gt;VilleSelID),D115,NA())</f>
        <v/>
      </c>
      <c r="T115">
        <f>IF(AND(L115=1,A115&lt;&gt;VilleSelID),F115,NA())</f>
        <v/>
      </c>
      <c r="U115">
        <f>IF(AND(L115=2,A115&lt;&gt;VilleSelID),F115,NA())</f>
        <v/>
      </c>
      <c r="V115">
        <f>IF(AND(L115=3,A115&lt;&gt;VilleSelID),F115,NA())</f>
        <v/>
      </c>
      <c r="W115">
        <f>IF(AND(L115=4,A115&lt;&gt;VilleSelID),F115,NA())</f>
        <v/>
      </c>
      <c r="X115">
        <f>IF(AND(L115=5,A115&lt;&gt;VilleSelID),F115,NA())</f>
        <v/>
      </c>
      <c r="AM115" t="n">
        <v>1283.29</v>
      </c>
      <c r="AN115" t="n">
        <v>1194.2</v>
      </c>
      <c r="AP115" t="n">
        <v>1016.11</v>
      </c>
      <c r="AQ115" t="n">
        <v>1217.69</v>
      </c>
    </row>
    <row r="116">
      <c r="A116" t="n">
        <v>11</v>
      </c>
      <c r="B116" t="inlineStr">
        <is>
          <t>Sherbrooke</t>
        </is>
      </c>
      <c r="C116" t="n">
        <v>1158.87</v>
      </c>
      <c r="D116" t="n">
        <v>1096.89</v>
      </c>
      <c r="E116" t="n">
        <v>1621.81</v>
      </c>
      <c r="F116" t="n">
        <v>991.62</v>
      </c>
      <c r="G116" s="84">
        <f>SUMIFS(T_Loyer,T_ID,$A116,T_Est,"Demandé",T_Periode,"2026 T2")</f>
        <v/>
      </c>
      <c r="H116" s="84">
        <f>SUMIFS(T_Loyer,T_ID,$A116,T_Est,"Payé",T_Periode,"2026 T2")</f>
        <v/>
      </c>
      <c r="I116" s="139">
        <f>G116-H116</f>
        <v/>
      </c>
      <c r="J116" s="138">
        <f>G116/H116-1</f>
        <v/>
      </c>
      <c r="K116">
        <f>CHOOSE(MATCH(IndVilles,ListeIndVille,0),J116,I116,G116)</f>
        <v/>
      </c>
      <c r="L116">
        <f>MATCH(K116,Seuils_Ville,1)</f>
        <v/>
      </c>
      <c r="M116">
        <f>K116+ROW()/1E9</f>
        <v/>
      </c>
      <c r="N116">
        <f>RANK(M116,$M$112:$M$127,0)</f>
        <v/>
      </c>
      <c r="O116">
        <f>IF(AND(L116=1,A116&lt;&gt;VilleSelID),D116,NA())</f>
        <v/>
      </c>
      <c r="P116">
        <f>IF(AND(L116=2,A116&lt;&gt;VilleSelID),D116,NA())</f>
        <v/>
      </c>
      <c r="Q116">
        <f>IF(AND(L116=3,A116&lt;&gt;VilleSelID),D116,NA())</f>
        <v/>
      </c>
      <c r="R116">
        <f>IF(AND(L116=4,A116&lt;&gt;VilleSelID),D116,NA())</f>
        <v/>
      </c>
      <c r="S116">
        <f>IF(AND(L116=5,A116&lt;&gt;VilleSelID),D116,NA())</f>
        <v/>
      </c>
      <c r="T116">
        <f>IF(AND(L116=1,A116&lt;&gt;VilleSelID),F116,NA())</f>
        <v/>
      </c>
      <c r="U116">
        <f>IF(AND(L116=2,A116&lt;&gt;VilleSelID),F116,NA())</f>
        <v/>
      </c>
      <c r="V116">
        <f>IF(AND(L116=3,A116&lt;&gt;VilleSelID),F116,NA())</f>
        <v/>
      </c>
      <c r="W116">
        <f>IF(AND(L116=4,A116&lt;&gt;VilleSelID),F116,NA())</f>
        <v/>
      </c>
      <c r="X116">
        <f>IF(AND(L116=5,A116&lt;&gt;VilleSelID),F116,NA())</f>
        <v/>
      </c>
      <c r="AJ116" t="n">
        <v>1955.11</v>
      </c>
      <c r="AK116" t="n">
        <v>1269.39</v>
      </c>
      <c r="AM116" t="n">
        <v>1279.81</v>
      </c>
      <c r="AN116" t="n">
        <v>1198.48</v>
      </c>
      <c r="AP116" t="n">
        <v>1015.56</v>
      </c>
      <c r="AQ116" t="n">
        <v>1223.07</v>
      </c>
    </row>
    <row r="117">
      <c r="A117" t="n">
        <v>16</v>
      </c>
      <c r="B117" t="inlineStr">
        <is>
          <t>Grand Sudbury</t>
        </is>
      </c>
      <c r="C117" t="n">
        <v>1045.74</v>
      </c>
      <c r="D117" t="n">
        <v>1088.71</v>
      </c>
      <c r="E117" t="n">
        <v>1508.68</v>
      </c>
      <c r="F117" t="n">
        <v>983.4400000000001</v>
      </c>
      <c r="G117" s="84">
        <f>SUMIFS(T_Loyer,T_ID,$A117,T_Est,"Demandé",T_Periode,"2026 T2")</f>
        <v/>
      </c>
      <c r="H117" s="84">
        <f>SUMIFS(T_Loyer,T_ID,$A117,T_Est,"Payé",T_Periode,"2026 T2")</f>
        <v/>
      </c>
      <c r="I117" s="139">
        <f>G117-H117</f>
        <v/>
      </c>
      <c r="J117" s="138">
        <f>G117/H117-1</f>
        <v/>
      </c>
      <c r="K117">
        <f>CHOOSE(MATCH(IndVilles,ListeIndVille,0),J117,I117,G117)</f>
        <v/>
      </c>
      <c r="L117">
        <f>MATCH(K117,Seuils_Ville,1)</f>
        <v/>
      </c>
      <c r="M117">
        <f>K117+ROW()/1E9</f>
        <v/>
      </c>
      <c r="N117">
        <f>RANK(M117,$M$112:$M$127,0)</f>
        <v/>
      </c>
      <c r="O117">
        <f>IF(AND(L117=1,A117&lt;&gt;VilleSelID),D117,NA())</f>
        <v/>
      </c>
      <c r="P117">
        <f>IF(AND(L117=2,A117&lt;&gt;VilleSelID),D117,NA())</f>
        <v/>
      </c>
      <c r="Q117">
        <f>IF(AND(L117=3,A117&lt;&gt;VilleSelID),D117,NA())</f>
        <v/>
      </c>
      <c r="R117">
        <f>IF(AND(L117=4,A117&lt;&gt;VilleSelID),D117,NA())</f>
        <v/>
      </c>
      <c r="S117">
        <f>IF(AND(L117=5,A117&lt;&gt;VilleSelID),D117,NA())</f>
        <v/>
      </c>
      <c r="T117">
        <f>IF(AND(L117=1,A117&lt;&gt;VilleSelID),F117,NA())</f>
        <v/>
      </c>
      <c r="U117">
        <f>IF(AND(L117=2,A117&lt;&gt;VilleSelID),F117,NA())</f>
        <v/>
      </c>
      <c r="V117">
        <f>IF(AND(L117=3,A117&lt;&gt;VilleSelID),F117,NA())</f>
        <v/>
      </c>
      <c r="W117">
        <f>IF(AND(L117=4,A117&lt;&gt;VilleSelID),F117,NA())</f>
        <v/>
      </c>
      <c r="X117">
        <f>IF(AND(L117=5,A117&lt;&gt;VilleSelID),F117,NA())</f>
        <v/>
      </c>
      <c r="AJ117" t="n">
        <v>1950.17</v>
      </c>
      <c r="AK117" t="n">
        <v>1277.51</v>
      </c>
      <c r="AM117" t="n">
        <v>1284.99</v>
      </c>
      <c r="AN117" t="n">
        <v>1213.14</v>
      </c>
      <c r="AP117" t="n">
        <v>1032.75</v>
      </c>
      <c r="AQ117" t="n">
        <v>1232.89</v>
      </c>
    </row>
    <row r="118">
      <c r="A118" t="n">
        <v>19</v>
      </c>
      <c r="B118" t="inlineStr">
        <is>
          <t>Kingston</t>
        </is>
      </c>
      <c r="C118" t="n">
        <v>1108.8</v>
      </c>
      <c r="D118" t="n">
        <v>1061</v>
      </c>
      <c r="E118" t="n">
        <v>1571.74</v>
      </c>
      <c r="F118" t="n">
        <v>955.73</v>
      </c>
      <c r="G118" s="84">
        <f>SUMIFS(T_Loyer,T_ID,$A118,T_Est,"Demandé",T_Periode,"2026 T2")</f>
        <v/>
      </c>
      <c r="H118" s="84">
        <f>SUMIFS(T_Loyer,T_ID,$A118,T_Est,"Payé",T_Periode,"2026 T2")</f>
        <v/>
      </c>
      <c r="I118" s="139">
        <f>G118-H118</f>
        <v/>
      </c>
      <c r="J118" s="138">
        <f>G118/H118-1</f>
        <v/>
      </c>
      <c r="K118">
        <f>CHOOSE(MATCH(IndVilles,ListeIndVille,0),J118,I118,G118)</f>
        <v/>
      </c>
      <c r="L118">
        <f>MATCH(K118,Seuils_Ville,1)</f>
        <v/>
      </c>
      <c r="M118">
        <f>K118+ROW()/1E9</f>
        <v/>
      </c>
      <c r="N118">
        <f>RANK(M118,$M$112:$M$127,0)</f>
        <v/>
      </c>
      <c r="O118">
        <f>IF(AND(L118=1,A118&lt;&gt;VilleSelID),D118,NA())</f>
        <v/>
      </c>
      <c r="P118">
        <f>IF(AND(L118=2,A118&lt;&gt;VilleSelID),D118,NA())</f>
        <v/>
      </c>
      <c r="Q118">
        <f>IF(AND(L118=3,A118&lt;&gt;VilleSelID),D118,NA())</f>
        <v/>
      </c>
      <c r="R118">
        <f>IF(AND(L118=4,A118&lt;&gt;VilleSelID),D118,NA())</f>
        <v/>
      </c>
      <c r="S118">
        <f>IF(AND(L118=5,A118&lt;&gt;VilleSelID),D118,NA())</f>
        <v/>
      </c>
      <c r="T118">
        <f>IF(AND(L118=1,A118&lt;&gt;VilleSelID),F118,NA())</f>
        <v/>
      </c>
      <c r="U118">
        <f>IF(AND(L118=2,A118&lt;&gt;VilleSelID),F118,NA())</f>
        <v/>
      </c>
      <c r="V118">
        <f>IF(AND(L118=3,A118&lt;&gt;VilleSelID),F118,NA())</f>
        <v/>
      </c>
      <c r="W118">
        <f>IF(AND(L118=4,A118&lt;&gt;VilleSelID),F118,NA())</f>
        <v/>
      </c>
      <c r="X118">
        <f>IF(AND(L118=5,A118&lt;&gt;VilleSelID),F118,NA())</f>
        <v/>
      </c>
      <c r="AJ118" t="n">
        <v>1887.88</v>
      </c>
      <c r="AK118" t="n">
        <v>1244.14</v>
      </c>
      <c r="AM118" t="n">
        <v>1276.31</v>
      </c>
      <c r="AN118" t="n">
        <v>1208.96</v>
      </c>
      <c r="AP118" t="n">
        <v>1031.43</v>
      </c>
      <c r="AQ118" t="n">
        <v>1235.44</v>
      </c>
    </row>
    <row r="119">
      <c r="A119" t="n">
        <v>20</v>
      </c>
      <c r="B119" t="inlineStr">
        <is>
          <t>Kitchener - Cambridge - Waterloo</t>
        </is>
      </c>
      <c r="C119" t="n">
        <v>1061.33</v>
      </c>
      <c r="D119" t="n">
        <v>1036.63</v>
      </c>
      <c r="E119" t="n">
        <v>1524.27</v>
      </c>
      <c r="F119" t="n">
        <v>931.35</v>
      </c>
      <c r="G119" s="84">
        <f>SUMIFS(T_Loyer,T_ID,$A119,T_Est,"Demandé",T_Periode,"2026 T2")</f>
        <v/>
      </c>
      <c r="H119" s="84">
        <f>SUMIFS(T_Loyer,T_ID,$A119,T_Est,"Payé",T_Periode,"2026 T2")</f>
        <v/>
      </c>
      <c r="I119" s="139">
        <f>G119-H119</f>
        <v/>
      </c>
      <c r="J119" s="138">
        <f>G119/H119-1</f>
        <v/>
      </c>
      <c r="K119">
        <f>CHOOSE(MATCH(IndVilles,ListeIndVille,0),J119,I119,G119)</f>
        <v/>
      </c>
      <c r="L119">
        <f>MATCH(K119,Seuils_Ville,1)</f>
        <v/>
      </c>
      <c r="M119">
        <f>K119+ROW()/1E9</f>
        <v/>
      </c>
      <c r="N119">
        <f>RANK(M119,$M$112:$M$127,0)</f>
        <v/>
      </c>
      <c r="O119">
        <f>IF(AND(L119=1,A119&lt;&gt;VilleSelID),D119,NA())</f>
        <v/>
      </c>
      <c r="P119">
        <f>IF(AND(L119=2,A119&lt;&gt;VilleSelID),D119,NA())</f>
        <v/>
      </c>
      <c r="Q119">
        <f>IF(AND(L119=3,A119&lt;&gt;VilleSelID),D119,NA())</f>
        <v/>
      </c>
      <c r="R119">
        <f>IF(AND(L119=4,A119&lt;&gt;VilleSelID),D119,NA())</f>
        <v/>
      </c>
      <c r="S119">
        <f>IF(AND(L119=5,A119&lt;&gt;VilleSelID),D119,NA())</f>
        <v/>
      </c>
      <c r="T119">
        <f>IF(AND(L119=1,A119&lt;&gt;VilleSelID),F119,NA())</f>
        <v/>
      </c>
      <c r="U119">
        <f>IF(AND(L119=2,A119&lt;&gt;VilleSelID),F119,NA())</f>
        <v/>
      </c>
      <c r="V119">
        <f>IF(AND(L119=3,A119&lt;&gt;VilleSelID),F119,NA())</f>
        <v/>
      </c>
      <c r="W119">
        <f>IF(AND(L119=4,A119&lt;&gt;VilleSelID),F119,NA())</f>
        <v/>
      </c>
      <c r="X119">
        <f>IF(AND(L119=5,A119&lt;&gt;VilleSelID),F119,NA())</f>
        <v/>
      </c>
      <c r="AJ119" t="n">
        <v>1879.96</v>
      </c>
      <c r="AK119" t="n">
        <v>1261.37</v>
      </c>
      <c r="AM119" t="n">
        <v>1277.97</v>
      </c>
      <c r="AN119" t="n">
        <v>1213.52</v>
      </c>
      <c r="AP119" t="n">
        <v>1024.96</v>
      </c>
      <c r="AQ119" t="n">
        <v>1229.91</v>
      </c>
    </row>
    <row r="120">
      <c r="A120" t="n">
        <v>21</v>
      </c>
      <c r="B120" t="inlineStr">
        <is>
          <t>London</t>
        </is>
      </c>
      <c r="C120" t="n">
        <v>1053</v>
      </c>
      <c r="D120" t="n">
        <v>1026.62</v>
      </c>
      <c r="E120" t="n">
        <v>1515.94</v>
      </c>
      <c r="F120" t="n">
        <v>921.35</v>
      </c>
      <c r="G120" s="84">
        <f>SUMIFS(T_Loyer,T_ID,$A120,T_Est,"Demandé",T_Periode,"2026 T2")</f>
        <v/>
      </c>
      <c r="H120" s="84">
        <f>SUMIFS(T_Loyer,T_ID,$A120,T_Est,"Payé",T_Periode,"2026 T2")</f>
        <v/>
      </c>
      <c r="I120" s="139">
        <f>G120-H120</f>
        <v/>
      </c>
      <c r="J120" s="138">
        <f>G120/H120-1</f>
        <v/>
      </c>
      <c r="K120">
        <f>CHOOSE(MATCH(IndVilles,ListeIndVille,0),J120,I120,G120)</f>
        <v/>
      </c>
      <c r="L120">
        <f>MATCH(K120,Seuils_Ville,1)</f>
        <v/>
      </c>
      <c r="M120">
        <f>K120+ROW()/1E9</f>
        <v/>
      </c>
      <c r="N120">
        <f>RANK(M120,$M$112:$M$127,0)</f>
        <v/>
      </c>
      <c r="O120">
        <f>IF(AND(L120=1,A120&lt;&gt;VilleSelID),D120,NA())</f>
        <v/>
      </c>
      <c r="P120">
        <f>IF(AND(L120=2,A120&lt;&gt;VilleSelID),D120,NA())</f>
        <v/>
      </c>
      <c r="Q120">
        <f>IF(AND(L120=3,A120&lt;&gt;VilleSelID),D120,NA())</f>
        <v/>
      </c>
      <c r="R120">
        <f>IF(AND(L120=4,A120&lt;&gt;VilleSelID),D120,NA())</f>
        <v/>
      </c>
      <c r="S120">
        <f>IF(AND(L120=5,A120&lt;&gt;VilleSelID),D120,NA())</f>
        <v/>
      </c>
      <c r="T120">
        <f>IF(AND(L120=1,A120&lt;&gt;VilleSelID),F120,NA())</f>
        <v/>
      </c>
      <c r="U120">
        <f>IF(AND(L120=2,A120&lt;&gt;VilleSelID),F120,NA())</f>
        <v/>
      </c>
      <c r="V120">
        <f>IF(AND(L120=3,A120&lt;&gt;VilleSelID),F120,NA())</f>
        <v/>
      </c>
      <c r="W120">
        <f>IF(AND(L120=4,A120&lt;&gt;VilleSelID),F120,NA())</f>
        <v/>
      </c>
      <c r="X120">
        <f>IF(AND(L120=5,A120&lt;&gt;VilleSelID),F120,NA())</f>
        <v/>
      </c>
      <c r="AJ120" t="n">
        <v>1882.63</v>
      </c>
      <c r="AK120" t="n">
        <v>1233.89</v>
      </c>
      <c r="AM120" t="n">
        <v>1278.61</v>
      </c>
      <c r="AN120" t="n">
        <v>1211.47</v>
      </c>
      <c r="AP120" t="n">
        <v>1034.71</v>
      </c>
      <c r="AQ120" t="n">
        <v>1245</v>
      </c>
    </row>
    <row r="121">
      <c r="A121" t="n">
        <v>27</v>
      </c>
      <c r="B121" t="inlineStr">
        <is>
          <t>Toronto</t>
        </is>
      </c>
      <c r="C121" t="n">
        <v>1074.79</v>
      </c>
      <c r="D121" t="n">
        <v>1042.82</v>
      </c>
      <c r="E121" t="n">
        <v>1537.74</v>
      </c>
      <c r="F121" t="n">
        <v>937.55</v>
      </c>
      <c r="G121" s="84">
        <f>SUMIFS(T_Loyer,T_ID,$A121,T_Est,"Demandé",T_Periode,"2026 T2")</f>
        <v/>
      </c>
      <c r="H121" s="84">
        <f>SUMIFS(T_Loyer,T_ID,$A121,T_Est,"Payé",T_Periode,"2026 T2")</f>
        <v/>
      </c>
      <c r="I121" s="139">
        <f>G121-H121</f>
        <v/>
      </c>
      <c r="J121" s="138">
        <f>G121/H121-1</f>
        <v/>
      </c>
      <c r="K121">
        <f>CHOOSE(MATCH(IndVilles,ListeIndVille,0),J121,I121,G121)</f>
        <v/>
      </c>
      <c r="L121">
        <f>MATCH(K121,Seuils_Ville,1)</f>
        <v/>
      </c>
      <c r="M121">
        <f>K121+ROW()/1E9</f>
        <v/>
      </c>
      <c r="N121">
        <f>RANK(M121,$M$112:$M$127,0)</f>
        <v/>
      </c>
      <c r="O121">
        <f>IF(AND(L121=1,A121&lt;&gt;VilleSelID),D121,NA())</f>
        <v/>
      </c>
      <c r="P121">
        <f>IF(AND(L121=2,A121&lt;&gt;VilleSelID),D121,NA())</f>
        <v/>
      </c>
      <c r="Q121">
        <f>IF(AND(L121=3,A121&lt;&gt;VilleSelID),D121,NA())</f>
        <v/>
      </c>
      <c r="R121">
        <f>IF(AND(L121=4,A121&lt;&gt;VilleSelID),D121,NA())</f>
        <v/>
      </c>
      <c r="S121">
        <f>IF(AND(L121=5,A121&lt;&gt;VilleSelID),D121,NA())</f>
        <v/>
      </c>
      <c r="T121">
        <f>IF(AND(L121=1,A121&lt;&gt;VilleSelID),F121,NA())</f>
        <v/>
      </c>
      <c r="U121">
        <f>IF(AND(L121=2,A121&lt;&gt;VilleSelID),F121,NA())</f>
        <v/>
      </c>
      <c r="V121">
        <f>IF(AND(L121=3,A121&lt;&gt;VilleSelID),F121,NA())</f>
        <v/>
      </c>
      <c r="W121">
        <f>IF(AND(L121=4,A121&lt;&gt;VilleSelID),F121,NA())</f>
        <v/>
      </c>
      <c r="X121">
        <f>IF(AND(L121=5,A121&lt;&gt;VilleSelID),F121,NA())</f>
        <v/>
      </c>
      <c r="AJ121" t="n">
        <v>1873.57</v>
      </c>
      <c r="AK121" t="n">
        <v>1240.22</v>
      </c>
      <c r="AM121" t="n">
        <v>1280.5</v>
      </c>
      <c r="AN121" t="n">
        <v>1212.36</v>
      </c>
      <c r="AP121" t="n">
        <v>1026.06</v>
      </c>
      <c r="AQ121" t="n">
        <v>1261.13</v>
      </c>
    </row>
    <row r="122">
      <c r="A122" t="n">
        <v>29</v>
      </c>
      <c r="B122" t="inlineStr">
        <is>
          <t>Winnipeg</t>
        </is>
      </c>
      <c r="C122" t="n">
        <v>855.3</v>
      </c>
      <c r="D122" t="n">
        <v>1139.6</v>
      </c>
      <c r="E122" t="n">
        <v>1318.24</v>
      </c>
      <c r="F122" t="n">
        <v>1034.33</v>
      </c>
      <c r="G122" s="84">
        <f>SUMIFS(T_Loyer,T_ID,$A122,T_Est,"Demandé",T_Periode,"2026 T2")</f>
        <v/>
      </c>
      <c r="H122" s="84">
        <f>SUMIFS(T_Loyer,T_ID,$A122,T_Est,"Payé",T_Periode,"2026 T2")</f>
        <v/>
      </c>
      <c r="I122" s="139">
        <f>G122-H122</f>
        <v/>
      </c>
      <c r="J122" s="138">
        <f>G122/H122-1</f>
        <v/>
      </c>
      <c r="K122">
        <f>CHOOSE(MATCH(IndVilles,ListeIndVille,0),J122,I122,G122)</f>
        <v/>
      </c>
      <c r="L122">
        <f>MATCH(K122,Seuils_Ville,1)</f>
        <v/>
      </c>
      <c r="M122">
        <f>K122+ROW()/1E9</f>
        <v/>
      </c>
      <c r="N122">
        <f>RANK(M122,$M$112:$M$127,0)</f>
        <v/>
      </c>
      <c r="O122">
        <f>IF(AND(L122=1,A122&lt;&gt;VilleSelID),D122,NA())</f>
        <v/>
      </c>
      <c r="P122">
        <f>IF(AND(L122=2,A122&lt;&gt;VilleSelID),D122,NA())</f>
        <v/>
      </c>
      <c r="Q122">
        <f>IF(AND(L122=3,A122&lt;&gt;VilleSelID),D122,NA())</f>
        <v/>
      </c>
      <c r="R122">
        <f>IF(AND(L122=4,A122&lt;&gt;VilleSelID),D122,NA())</f>
        <v/>
      </c>
      <c r="S122">
        <f>IF(AND(L122=5,A122&lt;&gt;VilleSelID),D122,NA())</f>
        <v/>
      </c>
      <c r="T122">
        <f>IF(AND(L122=1,A122&lt;&gt;VilleSelID),F122,NA())</f>
        <v/>
      </c>
      <c r="U122">
        <f>IF(AND(L122=2,A122&lt;&gt;VilleSelID),F122,NA())</f>
        <v/>
      </c>
      <c r="V122">
        <f>IF(AND(L122=3,A122&lt;&gt;VilleSelID),F122,NA())</f>
        <v/>
      </c>
      <c r="W122">
        <f>IF(AND(L122=4,A122&lt;&gt;VilleSelID),F122,NA())</f>
        <v/>
      </c>
      <c r="X122">
        <f>IF(AND(L122=5,A122&lt;&gt;VilleSelID),F122,NA())</f>
        <v/>
      </c>
      <c r="AJ122" t="n">
        <v>1860.87</v>
      </c>
      <c r="AK122" t="n">
        <v>1235.45</v>
      </c>
      <c r="AM122" t="n">
        <v>1279.28</v>
      </c>
      <c r="AN122" t="n">
        <v>1221.13</v>
      </c>
      <c r="AP122" t="n">
        <v>1033</v>
      </c>
      <c r="AQ122" t="n">
        <v>1294.61</v>
      </c>
    </row>
    <row r="123">
      <c r="A123" t="n">
        <v>30</v>
      </c>
      <c r="B123" t="inlineStr">
        <is>
          <t>Regina</t>
        </is>
      </c>
      <c r="C123" t="n">
        <v>774.39</v>
      </c>
      <c r="D123" t="n">
        <v>1160.78</v>
      </c>
      <c r="E123" t="n">
        <v>1237.33</v>
      </c>
      <c r="F123" t="n">
        <v>1055.5</v>
      </c>
      <c r="G123" s="84">
        <f>SUMIFS(T_Loyer,T_ID,$A123,T_Est,"Demandé",T_Periode,"2026 T2")</f>
        <v/>
      </c>
      <c r="H123" s="84">
        <f>SUMIFS(T_Loyer,T_ID,$A123,T_Est,"Payé",T_Periode,"2026 T2")</f>
        <v/>
      </c>
      <c r="I123" s="139">
        <f>G123-H123</f>
        <v/>
      </c>
      <c r="J123" s="138">
        <f>G123/H123-1</f>
        <v/>
      </c>
      <c r="K123">
        <f>CHOOSE(MATCH(IndVilles,ListeIndVille,0),J123,I123,G123)</f>
        <v/>
      </c>
      <c r="L123">
        <f>MATCH(K123,Seuils_Ville,1)</f>
        <v/>
      </c>
      <c r="M123">
        <f>K123+ROW()/1E9</f>
        <v/>
      </c>
      <c r="N123">
        <f>RANK(M123,$M$112:$M$127,0)</f>
        <v/>
      </c>
      <c r="O123">
        <f>IF(AND(L123=1,A123&lt;&gt;VilleSelID),D123,NA())</f>
        <v/>
      </c>
      <c r="P123">
        <f>IF(AND(L123=2,A123&lt;&gt;VilleSelID),D123,NA())</f>
        <v/>
      </c>
      <c r="Q123">
        <f>IF(AND(L123=3,A123&lt;&gt;VilleSelID),D123,NA())</f>
        <v/>
      </c>
      <c r="R123">
        <f>IF(AND(L123=4,A123&lt;&gt;VilleSelID),D123,NA())</f>
        <v/>
      </c>
      <c r="S123">
        <f>IF(AND(L123=5,A123&lt;&gt;VilleSelID),D123,NA())</f>
        <v/>
      </c>
      <c r="T123">
        <f>IF(AND(L123=1,A123&lt;&gt;VilleSelID),F123,NA())</f>
        <v/>
      </c>
      <c r="U123">
        <f>IF(AND(L123=2,A123&lt;&gt;VilleSelID),F123,NA())</f>
        <v/>
      </c>
      <c r="V123">
        <f>IF(AND(L123=3,A123&lt;&gt;VilleSelID),F123,NA())</f>
        <v/>
      </c>
      <c r="W123">
        <f>IF(AND(L123=4,A123&lt;&gt;VilleSelID),F123,NA())</f>
        <v/>
      </c>
      <c r="X123">
        <f>IF(AND(L123=5,A123&lt;&gt;VilleSelID),F123,NA())</f>
        <v/>
      </c>
      <c r="AJ123" t="n">
        <v>1855.17</v>
      </c>
      <c r="AK123" t="n">
        <v>1248.38</v>
      </c>
      <c r="AM123" t="n">
        <v>1284.22</v>
      </c>
      <c r="AN123" t="n">
        <v>1222.2</v>
      </c>
      <c r="AP123" t="n">
        <v>1031.47</v>
      </c>
      <c r="AQ123" t="n">
        <v>1314.6</v>
      </c>
    </row>
    <row r="124">
      <c r="A124" t="n">
        <v>31</v>
      </c>
      <c r="B124" t="inlineStr">
        <is>
          <t>Saskatoon</t>
        </is>
      </c>
      <c r="C124" t="n">
        <v>758.86</v>
      </c>
      <c r="D124" t="n">
        <v>1193.96</v>
      </c>
      <c r="E124" t="n">
        <v>1221.8</v>
      </c>
      <c r="F124" t="n">
        <v>1088.69</v>
      </c>
      <c r="G124" s="84">
        <f>SUMIFS(T_Loyer,T_ID,$A124,T_Est,"Demandé",T_Periode,"2026 T2")</f>
        <v/>
      </c>
      <c r="H124" s="84">
        <f>SUMIFS(T_Loyer,T_ID,$A124,T_Est,"Payé",T_Periode,"2026 T2")</f>
        <v/>
      </c>
      <c r="I124" s="139">
        <f>G124-H124</f>
        <v/>
      </c>
      <c r="J124" s="138">
        <f>G124/H124-1</f>
        <v/>
      </c>
      <c r="K124">
        <f>CHOOSE(MATCH(IndVilles,ListeIndVille,0),J124,I124,G124)</f>
        <v/>
      </c>
      <c r="L124">
        <f>MATCH(K124,Seuils_Ville,1)</f>
        <v/>
      </c>
      <c r="M124">
        <f>K124+ROW()/1E9</f>
        <v/>
      </c>
      <c r="N124">
        <f>RANK(M124,$M$112:$M$127,0)</f>
        <v/>
      </c>
      <c r="O124">
        <f>IF(AND(L124=1,A124&lt;&gt;VilleSelID),D124,NA())</f>
        <v/>
      </c>
      <c r="P124">
        <f>IF(AND(L124=2,A124&lt;&gt;VilleSelID),D124,NA())</f>
        <v/>
      </c>
      <c r="Q124">
        <f>IF(AND(L124=3,A124&lt;&gt;VilleSelID),D124,NA())</f>
        <v/>
      </c>
      <c r="R124">
        <f>IF(AND(L124=4,A124&lt;&gt;VilleSelID),D124,NA())</f>
        <v/>
      </c>
      <c r="S124">
        <f>IF(AND(L124=5,A124&lt;&gt;VilleSelID),D124,NA())</f>
        <v/>
      </c>
      <c r="T124">
        <f>IF(AND(L124=1,A124&lt;&gt;VilleSelID),F124,NA())</f>
        <v/>
      </c>
      <c r="U124">
        <f>IF(AND(L124=2,A124&lt;&gt;VilleSelID),F124,NA())</f>
        <v/>
      </c>
      <c r="V124">
        <f>IF(AND(L124=3,A124&lt;&gt;VilleSelID),F124,NA())</f>
        <v/>
      </c>
      <c r="W124">
        <f>IF(AND(L124=4,A124&lt;&gt;VilleSelID),F124,NA())</f>
        <v/>
      </c>
      <c r="X124">
        <f>IF(AND(L124=5,A124&lt;&gt;VilleSelID),F124,NA())</f>
        <v/>
      </c>
      <c r="AJ124" t="n">
        <v>1851.34</v>
      </c>
      <c r="AK124" t="n">
        <v>1241.37</v>
      </c>
      <c r="AM124" t="n">
        <v>1282.34</v>
      </c>
      <c r="AN124" t="n">
        <v>1222.92</v>
      </c>
      <c r="AP124" t="n">
        <v>1033.99</v>
      </c>
      <c r="AQ124" t="n">
        <v>1319.11</v>
      </c>
    </row>
    <row r="125">
      <c r="A125" t="n">
        <v>32</v>
      </c>
      <c r="B125" t="inlineStr">
        <is>
          <t>Calgary</t>
        </is>
      </c>
      <c r="C125" t="n">
        <v>677.4</v>
      </c>
      <c r="D125" t="n">
        <v>1198.89</v>
      </c>
      <c r="E125" t="n">
        <v>1140.34</v>
      </c>
      <c r="F125" t="n">
        <v>1093.62</v>
      </c>
      <c r="G125" s="84">
        <f>SUMIFS(T_Loyer,T_ID,$A125,T_Est,"Demandé",T_Periode,"2026 T2")</f>
        <v/>
      </c>
      <c r="H125" s="84">
        <f>SUMIFS(T_Loyer,T_ID,$A125,T_Est,"Payé",T_Periode,"2026 T2")</f>
        <v/>
      </c>
      <c r="I125" s="139">
        <f>G125-H125</f>
        <v/>
      </c>
      <c r="J125" s="138">
        <f>G125/H125-1</f>
        <v/>
      </c>
      <c r="K125">
        <f>CHOOSE(MATCH(IndVilles,ListeIndVille,0),J125,I125,G125)</f>
        <v/>
      </c>
      <c r="L125">
        <f>MATCH(K125,Seuils_Ville,1)</f>
        <v/>
      </c>
      <c r="M125">
        <f>K125+ROW()/1E9</f>
        <v/>
      </c>
      <c r="N125">
        <f>RANK(M125,$M$112:$M$127,0)</f>
        <v/>
      </c>
      <c r="O125">
        <f>IF(AND(L125=1,A125&lt;&gt;VilleSelID),D125,NA())</f>
        <v/>
      </c>
      <c r="P125">
        <f>IF(AND(L125=2,A125&lt;&gt;VilleSelID),D125,NA())</f>
        <v/>
      </c>
      <c r="Q125">
        <f>IF(AND(L125=3,A125&lt;&gt;VilleSelID),D125,NA())</f>
        <v/>
      </c>
      <c r="R125">
        <f>IF(AND(L125=4,A125&lt;&gt;VilleSelID),D125,NA())</f>
        <v/>
      </c>
      <c r="S125">
        <f>IF(AND(L125=5,A125&lt;&gt;VilleSelID),D125,NA())</f>
        <v/>
      </c>
      <c r="T125">
        <f>IF(AND(L125=1,A125&lt;&gt;VilleSelID),F125,NA())</f>
        <v/>
      </c>
      <c r="U125">
        <f>IF(AND(L125=2,A125&lt;&gt;VilleSelID),F125,NA())</f>
        <v/>
      </c>
      <c r="V125">
        <f>IF(AND(L125=3,A125&lt;&gt;VilleSelID),F125,NA())</f>
        <v/>
      </c>
      <c r="W125">
        <f>IF(AND(L125=4,A125&lt;&gt;VilleSelID),F125,NA())</f>
        <v/>
      </c>
      <c r="X125">
        <f>IF(AND(L125=5,A125&lt;&gt;VilleSelID),F125,NA())</f>
        <v/>
      </c>
      <c r="AJ125" t="n">
        <v>1848.06</v>
      </c>
      <c r="AK125" t="n">
        <v>1251.75</v>
      </c>
      <c r="AM125" t="n">
        <v>1282.29</v>
      </c>
      <c r="AN125" t="n">
        <v>1225.92</v>
      </c>
      <c r="AP125" t="n">
        <v>1033.45</v>
      </c>
      <c r="AQ125" t="n">
        <v>1324.14</v>
      </c>
    </row>
    <row r="126">
      <c r="A126" t="n">
        <v>33</v>
      </c>
      <c r="B126" t="inlineStr">
        <is>
          <t>Edmonton</t>
        </is>
      </c>
      <c r="C126" t="n">
        <v>697.72</v>
      </c>
      <c r="D126" t="n">
        <v>1237.42</v>
      </c>
      <c r="E126" t="n">
        <v>1160.67</v>
      </c>
      <c r="F126" t="n">
        <v>1132.15</v>
      </c>
      <c r="G126" s="84">
        <f>SUMIFS(T_Loyer,T_ID,$A126,T_Est,"Demandé",T_Periode,"2026 T2")</f>
        <v/>
      </c>
      <c r="H126" s="84">
        <f>SUMIFS(T_Loyer,T_ID,$A126,T_Est,"Payé",T_Periode,"2026 T2")</f>
        <v/>
      </c>
      <c r="I126" s="139">
        <f>G126-H126</f>
        <v/>
      </c>
      <c r="J126" s="138">
        <f>G126/H126-1</f>
        <v/>
      </c>
      <c r="K126">
        <f>CHOOSE(MATCH(IndVilles,ListeIndVille,0),J126,I126,G126)</f>
        <v/>
      </c>
      <c r="L126">
        <f>MATCH(K126,Seuils_Ville,1)</f>
        <v/>
      </c>
      <c r="M126">
        <f>K126+ROW()/1E9</f>
        <v/>
      </c>
      <c r="N126">
        <f>RANK(M126,$M$112:$M$127,0)</f>
        <v/>
      </c>
      <c r="O126">
        <f>IF(AND(L126=1,A126&lt;&gt;VilleSelID),D126,NA())</f>
        <v/>
      </c>
      <c r="P126">
        <f>IF(AND(L126=2,A126&lt;&gt;VilleSelID),D126,NA())</f>
        <v/>
      </c>
      <c r="Q126">
        <f>IF(AND(L126=3,A126&lt;&gt;VilleSelID),D126,NA())</f>
        <v/>
      </c>
      <c r="R126">
        <f>IF(AND(L126=4,A126&lt;&gt;VilleSelID),D126,NA())</f>
        <v/>
      </c>
      <c r="S126">
        <f>IF(AND(L126=5,A126&lt;&gt;VilleSelID),D126,NA())</f>
        <v/>
      </c>
      <c r="T126">
        <f>IF(AND(L126=1,A126&lt;&gt;VilleSelID),F126,NA())</f>
        <v/>
      </c>
      <c r="U126">
        <f>IF(AND(L126=2,A126&lt;&gt;VilleSelID),F126,NA())</f>
        <v/>
      </c>
      <c r="V126">
        <f>IF(AND(L126=3,A126&lt;&gt;VilleSelID),F126,NA())</f>
        <v/>
      </c>
      <c r="W126">
        <f>IF(AND(L126=4,A126&lt;&gt;VilleSelID),F126,NA())</f>
        <v/>
      </c>
      <c r="X126">
        <f>IF(AND(L126=5,A126&lt;&gt;VilleSelID),F126,NA())</f>
        <v/>
      </c>
      <c r="AJ126" t="n">
        <v>1835.94</v>
      </c>
      <c r="AK126" t="n">
        <v>1259.44</v>
      </c>
      <c r="AM126" t="n">
        <v>1279.87</v>
      </c>
      <c r="AN126" t="n">
        <v>1225.11</v>
      </c>
      <c r="AP126" t="n">
        <v>1025.9</v>
      </c>
      <c r="AQ126" t="n">
        <v>1326.43</v>
      </c>
    </row>
    <row r="127">
      <c r="A127" t="n">
        <v>41</v>
      </c>
      <c r="B127" t="inlineStr">
        <is>
          <t>Vancouver</t>
        </is>
      </c>
      <c r="C127" t="n">
        <v>572.98</v>
      </c>
      <c r="D127" t="n">
        <v>1211.94</v>
      </c>
      <c r="E127" t="n">
        <v>1035.92</v>
      </c>
      <c r="F127" t="n">
        <v>1106.67</v>
      </c>
      <c r="G127" s="84">
        <f>SUMIFS(T_Loyer,T_ID,$A127,T_Est,"Demandé",T_Periode,"2026 T2")</f>
        <v/>
      </c>
      <c r="H127" s="84">
        <f>SUMIFS(T_Loyer,T_ID,$A127,T_Est,"Payé",T_Periode,"2026 T2")</f>
        <v/>
      </c>
      <c r="I127" s="139">
        <f>G127-H127</f>
        <v/>
      </c>
      <c r="J127" s="138">
        <f>G127/H127-1</f>
        <v/>
      </c>
      <c r="K127">
        <f>CHOOSE(MATCH(IndVilles,ListeIndVille,0),J127,I127,G127)</f>
        <v/>
      </c>
      <c r="L127">
        <f>MATCH(K127,Seuils_Ville,1)</f>
        <v/>
      </c>
      <c r="M127">
        <f>K127+ROW()/1E9</f>
        <v/>
      </c>
      <c r="N127">
        <f>RANK(M127,$M$112:$M$127,0)</f>
        <v/>
      </c>
      <c r="O127">
        <f>IF(AND(L127=1,A127&lt;&gt;VilleSelID),D127,NA())</f>
        <v/>
      </c>
      <c r="P127">
        <f>IF(AND(L127=2,A127&lt;&gt;VilleSelID),D127,NA())</f>
        <v/>
      </c>
      <c r="Q127">
        <f>IF(AND(L127=3,A127&lt;&gt;VilleSelID),D127,NA())</f>
        <v/>
      </c>
      <c r="R127">
        <f>IF(AND(L127=4,A127&lt;&gt;VilleSelID),D127,NA())</f>
        <v/>
      </c>
      <c r="S127">
        <f>IF(AND(L127=5,A127&lt;&gt;VilleSelID),D127,NA())</f>
        <v/>
      </c>
      <c r="T127">
        <f>IF(AND(L127=1,A127&lt;&gt;VilleSelID),F127,NA())</f>
        <v/>
      </c>
      <c r="U127">
        <f>IF(AND(L127=2,A127&lt;&gt;VilleSelID),F127,NA())</f>
        <v/>
      </c>
      <c r="V127">
        <f>IF(AND(L127=3,A127&lt;&gt;VilleSelID),F127,NA())</f>
        <v/>
      </c>
      <c r="W127">
        <f>IF(AND(L127=4,A127&lt;&gt;VilleSelID),F127,NA())</f>
        <v/>
      </c>
      <c r="X127">
        <f>IF(AND(L127=5,A127&lt;&gt;VilleSelID),F127,NA())</f>
        <v/>
      </c>
      <c r="AJ127" t="n">
        <v>1837.71</v>
      </c>
      <c r="AK127" t="n">
        <v>1271.62</v>
      </c>
      <c r="AM127" t="n">
        <v>1278.43</v>
      </c>
      <c r="AN127" t="n">
        <v>1226.89</v>
      </c>
      <c r="AP127" t="n">
        <v>1019.14</v>
      </c>
      <c r="AQ127" t="n">
        <v>1321.91</v>
      </c>
    </row>
    <row r="128">
      <c r="AJ128" t="n">
        <v>1832.41</v>
      </c>
      <c r="AK128" t="n">
        <v>1277.05</v>
      </c>
      <c r="AM128" t="n">
        <v>1279.06</v>
      </c>
      <c r="AN128" t="n">
        <v>1230.29</v>
      </c>
      <c r="AP128" t="n">
        <v>1010.36</v>
      </c>
      <c r="AQ128" t="n">
        <v>1324.31</v>
      </c>
    </row>
    <row r="129">
      <c r="AJ129" t="n">
        <v>1840.9</v>
      </c>
      <c r="AK129" t="n">
        <v>1274.8</v>
      </c>
      <c r="AM129" t="n">
        <v>1281.74</v>
      </c>
      <c r="AN129" t="n">
        <v>1230.86</v>
      </c>
      <c r="AP129" t="n">
        <v>1013.37</v>
      </c>
      <c r="AQ129" t="n">
        <v>1328.68</v>
      </c>
    </row>
    <row r="130">
      <c r="A130" t="inlineStr">
        <is>
          <t>Seuils (quintiles)</t>
        </is>
      </c>
      <c r="B130">
        <f>PERCENTILE(V_Valeurs,0)</f>
        <v/>
      </c>
      <c r="C130">
        <f>IF(VillePct,IF((B130)&gt;=0,"+","")&amp;FIXED((B130)*100,1)&amp;" %",FIXED(B130,0)&amp;" $")</f>
        <v/>
      </c>
      <c r="E130" t="inlineStr">
        <is>
          <t>Ville choisie</t>
        </is>
      </c>
      <c r="F130">
        <f>MATCH(VilleSel,V_Noms,0)</f>
        <v/>
      </c>
      <c r="G130">
        <f>VilleSel</f>
        <v/>
      </c>
      <c r="H130">
        <f>MATCH(IndVilles,ListeIndVille,0)=1</f>
        <v/>
      </c>
      <c r="AJ130" t="n">
        <v>1836.53</v>
      </c>
      <c r="AK130" t="n">
        <v>1283.74</v>
      </c>
      <c r="AM130" t="n">
        <v>1278.7</v>
      </c>
      <c r="AN130" t="n">
        <v>1232.91</v>
      </c>
      <c r="AP130" t="n">
        <v>1012.75</v>
      </c>
      <c r="AQ130" t="n">
        <v>1346.77</v>
      </c>
    </row>
    <row r="131">
      <c r="B131">
        <f>PERCENTILE(V_Valeurs,0.2)</f>
        <v/>
      </c>
      <c r="C131">
        <f>IF(VillePct,IF((B131)&gt;=0,"+","")&amp;FIXED((B131)*100,1)&amp;" %",FIXED(B131,0)&amp;" $")</f>
        <v/>
      </c>
      <c r="E131" t="inlineStr">
        <is>
          <t>ID</t>
        </is>
      </c>
      <c r="F131">
        <f>INDEX($A$112:$A$127,F130)</f>
        <v/>
      </c>
      <c r="AJ131" t="n">
        <v>1850.44</v>
      </c>
      <c r="AK131" t="n">
        <v>1278.87</v>
      </c>
      <c r="AM131" t="n">
        <v>1276.09</v>
      </c>
      <c r="AN131" t="n">
        <v>1247.74</v>
      </c>
      <c r="AP131" t="n">
        <v>1043.58</v>
      </c>
      <c r="AQ131" t="n">
        <v>1320.58</v>
      </c>
    </row>
    <row r="132">
      <c r="B132">
        <f>PERCENTILE(V_Valeurs,0.4)</f>
        <v/>
      </c>
      <c r="C132">
        <f>IF(VillePct,IF((B132)&gt;=0,"+","")&amp;FIXED((B132)*100,1)&amp;" %",FIXED(B132,0)&amp;" $")</f>
        <v/>
      </c>
      <c r="E132" t="inlineStr">
        <is>
          <t>x est</t>
        </is>
      </c>
      <c r="F132">
        <f>INDEX($C$112:$C$127,$F$130)</f>
        <v/>
      </c>
      <c r="AJ132" t="n">
        <v>1868.75</v>
      </c>
      <c r="AK132" t="n">
        <v>1284.57</v>
      </c>
      <c r="AM132" t="n">
        <v>1277.56</v>
      </c>
      <c r="AN132" t="n">
        <v>1251.06</v>
      </c>
      <c r="AP132" t="n">
        <v>1076.14</v>
      </c>
      <c r="AQ132" t="n">
        <v>1296.87</v>
      </c>
    </row>
    <row r="133">
      <c r="B133">
        <f>PERCENTILE(V_Valeurs,0.6)</f>
        <v/>
      </c>
      <c r="C133">
        <f>IF(VillePct,IF((B133)&gt;=0,"+","")&amp;FIXED((B133)*100,1)&amp;" %",FIXED(B133,0)&amp;" $")</f>
        <v/>
      </c>
      <c r="E133" t="inlineStr">
        <is>
          <t>y est</t>
        </is>
      </c>
      <c r="F133">
        <f>INDEX($D$112:$D$127,$F$130)</f>
        <v/>
      </c>
      <c r="AJ133" t="n">
        <v>1869.02</v>
      </c>
      <c r="AK133" t="n">
        <v>1298.56</v>
      </c>
      <c r="AM133" t="n">
        <v>1275.63</v>
      </c>
      <c r="AN133" t="n">
        <v>1251.71</v>
      </c>
      <c r="AP133" t="n">
        <v>1110.45</v>
      </c>
      <c r="AQ133" t="n">
        <v>1275.61</v>
      </c>
    </row>
    <row r="134">
      <c r="B134">
        <f>PERCENTILE(V_Valeurs,0.8)</f>
        <v/>
      </c>
      <c r="C134">
        <f>IF(VillePct,IF((B134)&gt;=0,"+","")&amp;FIXED((B134)*100,1)&amp;" %",FIXED(B134,0)&amp;" $")</f>
        <v/>
      </c>
      <c r="E134" t="inlineStr">
        <is>
          <t>x ouest</t>
        </is>
      </c>
      <c r="F134">
        <f>INDEX($E$112:$E$127,$F$130)</f>
        <v/>
      </c>
      <c r="AJ134" t="n">
        <v>1853.29</v>
      </c>
      <c r="AK134" t="n">
        <v>1309.05</v>
      </c>
      <c r="AM134" t="n">
        <v>1275.36</v>
      </c>
      <c r="AN134" t="n">
        <v>1257.84</v>
      </c>
      <c r="AP134" t="n">
        <v>1146.33</v>
      </c>
      <c r="AQ134" t="n">
        <v>1256.94</v>
      </c>
    </row>
    <row r="135">
      <c r="E135" t="inlineStr">
        <is>
          <t>y ouest</t>
        </is>
      </c>
      <c r="F135">
        <f>INDEX($F$112:$F$127,$F$130)</f>
        <v/>
      </c>
      <c r="AJ135" t="n">
        <v>1847.26</v>
      </c>
      <c r="AK135" t="n">
        <v>1333.16</v>
      </c>
      <c r="AM135" t="n">
        <v>1275.61</v>
      </c>
      <c r="AN135" t="n">
        <v>1264.7</v>
      </c>
    </row>
    <row r="136">
      <c r="AJ136" t="n">
        <v>1837.83</v>
      </c>
      <c r="AK136" t="n">
        <v>1336.25</v>
      </c>
      <c r="AM136" t="n">
        <v>1279.45</v>
      </c>
      <c r="AN136" t="n">
        <v>1271.79</v>
      </c>
      <c r="AP136" t="n">
        <v>1013.68</v>
      </c>
      <c r="AQ136" t="n">
        <v>1197.36</v>
      </c>
    </row>
    <row r="137">
      <c r="A137" s="46" t="inlineStr">
        <is>
          <t>Rang</t>
        </is>
      </c>
      <c r="B137" s="46" t="inlineStr">
        <is>
          <t>Région</t>
        </is>
      </c>
      <c r="C137" s="46" t="inlineStr">
        <is>
          <t>Valeur</t>
        </is>
      </c>
      <c r="D137" s="46" t="inlineStr">
        <is>
          <t>Valeur (texte)</t>
        </is>
      </c>
      <c r="AJ137" t="n">
        <v>1840.53</v>
      </c>
      <c r="AK137" t="n">
        <v>1349.35</v>
      </c>
      <c r="AM137" t="n">
        <v>1283.46</v>
      </c>
      <c r="AN137" t="n">
        <v>1272.29</v>
      </c>
      <c r="AP137" t="n">
        <v>1012.5</v>
      </c>
      <c r="AQ137" t="n">
        <v>1198.56</v>
      </c>
    </row>
    <row r="138">
      <c r="A138" t="n">
        <v>1</v>
      </c>
      <c r="B138">
        <f>INDEX(V_Noms,MATCH(1,V_Rangs,0))</f>
        <v/>
      </c>
      <c r="C138">
        <f>INDEX(V_Valeurs,MATCH(1,V_Rangs,0))</f>
        <v/>
      </c>
      <c r="D138">
        <f>IF(VillePct,IF((C138)&gt;=0,"+","")&amp;FIXED((C138)*100,1)&amp;" %",FIXED(C138,0)&amp;" $")</f>
        <v/>
      </c>
      <c r="AJ138" t="n">
        <v>1828.34</v>
      </c>
      <c r="AK138" t="n">
        <v>1347.43</v>
      </c>
      <c r="AM138" t="n">
        <v>1282.44</v>
      </c>
      <c r="AN138" t="n">
        <v>1273.48</v>
      </c>
      <c r="AP138" t="n">
        <v>1015</v>
      </c>
      <c r="AQ138" t="n">
        <v>1200.82</v>
      </c>
    </row>
    <row r="139">
      <c r="A139" t="n">
        <v>2</v>
      </c>
      <c r="B139">
        <f>INDEX(V_Noms,MATCH(2,V_Rangs,0))</f>
        <v/>
      </c>
      <c r="C139">
        <f>INDEX(V_Valeurs,MATCH(2,V_Rangs,0))</f>
        <v/>
      </c>
      <c r="D139">
        <f>IF(VillePct,IF((C139)&gt;=0,"+","")&amp;FIXED((C139)*100,1)&amp;" %",FIXED(C139,0)&amp;" $")</f>
        <v/>
      </c>
      <c r="AJ139" t="n">
        <v>1832.06</v>
      </c>
      <c r="AK139" t="n">
        <v>1350.44</v>
      </c>
      <c r="AM139" t="n">
        <v>1284.15</v>
      </c>
      <c r="AN139" t="n">
        <v>1275.2</v>
      </c>
      <c r="AP139" t="n">
        <v>1013.68</v>
      </c>
      <c r="AQ139" t="n">
        <v>1197.36</v>
      </c>
    </row>
    <row r="140">
      <c r="A140" t="n">
        <v>3</v>
      </c>
      <c r="B140">
        <f>INDEX(V_Noms,MATCH(3,V_Rangs,0))</f>
        <v/>
      </c>
      <c r="C140">
        <f>INDEX(V_Valeurs,MATCH(3,V_Rangs,0))</f>
        <v/>
      </c>
      <c r="D140">
        <f>IF(VillePct,IF((C140)&gt;=0,"+","")&amp;FIXED((C140)*100,1)&amp;" %",FIXED(C140,0)&amp;" $")</f>
        <v/>
      </c>
      <c r="AJ140" t="n">
        <v>1819.34</v>
      </c>
      <c r="AK140" t="n">
        <v>1367.95</v>
      </c>
      <c r="AM140" t="n">
        <v>1285.12</v>
      </c>
      <c r="AN140" t="n">
        <v>1271.7</v>
      </c>
    </row>
    <row r="141">
      <c r="A141" t="n">
        <v>4</v>
      </c>
      <c r="B141">
        <f>INDEX(V_Noms,MATCH(4,V_Rangs,0))</f>
        <v/>
      </c>
      <c r="C141">
        <f>INDEX(V_Valeurs,MATCH(4,V_Rangs,0))</f>
        <v/>
      </c>
      <c r="D141">
        <f>IF(VillePct,IF((C141)&gt;=0,"+","")&amp;FIXED((C141)*100,1)&amp;" %",FIXED(C141,0)&amp;" $")</f>
        <v/>
      </c>
      <c r="AJ141" t="n">
        <v>1837.93</v>
      </c>
      <c r="AK141" t="n">
        <v>1356.4</v>
      </c>
      <c r="AP141" t="n">
        <v>1014.69</v>
      </c>
      <c r="AQ141" t="n">
        <v>1186.39</v>
      </c>
    </row>
    <row r="142">
      <c r="A142" t="n">
        <v>5</v>
      </c>
      <c r="B142">
        <f>INDEX(V_Noms,MATCH(5,V_Rangs,0))</f>
        <v/>
      </c>
      <c r="C142">
        <f>INDEX(V_Valeurs,MATCH(5,V_Rangs,0))</f>
        <v/>
      </c>
      <c r="D142">
        <f>IF(VillePct,IF((C142)&gt;=0,"+","")&amp;FIXED((C142)*100,1)&amp;" %",FIXED(C142,0)&amp;" $")</f>
        <v/>
      </c>
      <c r="AJ142" t="n">
        <v>1835</v>
      </c>
      <c r="AK142" t="n">
        <v>1352</v>
      </c>
      <c r="AM142" t="n">
        <v>1243.26</v>
      </c>
      <c r="AN142" t="n">
        <v>1138.32</v>
      </c>
      <c r="AP142" t="n">
        <v>1010.22</v>
      </c>
      <c r="AQ142" t="n">
        <v>1183.96</v>
      </c>
    </row>
    <row r="143">
      <c r="A143" t="n">
        <v>6</v>
      </c>
      <c r="B143">
        <f>INDEX(V_Noms,MATCH(6,V_Rangs,0))</f>
        <v/>
      </c>
      <c r="C143">
        <f>INDEX(V_Valeurs,MATCH(6,V_Rangs,0))</f>
        <v/>
      </c>
      <c r="D143">
        <f>IF(VillePct,IF((C143)&gt;=0,"+","")&amp;FIXED((C143)*100,1)&amp;" %",FIXED(C143,0)&amp;" $")</f>
        <v/>
      </c>
      <c r="AJ143" t="n">
        <v>1844.9</v>
      </c>
      <c r="AK143" t="n">
        <v>1351.85</v>
      </c>
      <c r="AM143" t="n">
        <v>1245.04</v>
      </c>
      <c r="AN143" t="n">
        <v>1142.66</v>
      </c>
      <c r="AP143" t="n">
        <v>1013.91</v>
      </c>
      <c r="AQ143" t="n">
        <v>1189.78</v>
      </c>
    </row>
    <row r="144">
      <c r="A144" t="n">
        <v>7</v>
      </c>
      <c r="B144">
        <f>INDEX(V_Noms,MATCH(7,V_Rangs,0))</f>
        <v/>
      </c>
      <c r="C144">
        <f>INDEX(V_Valeurs,MATCH(7,V_Rangs,0))</f>
        <v/>
      </c>
      <c r="D144">
        <f>IF(VillePct,IF((C144)&gt;=0,"+","")&amp;FIXED((C144)*100,1)&amp;" %",FIXED(C144,0)&amp;" $")</f>
        <v/>
      </c>
      <c r="AJ144" t="n">
        <v>1843.29</v>
      </c>
      <c r="AK144" t="n">
        <v>1342.76</v>
      </c>
      <c r="AM144" t="n">
        <v>1255.43</v>
      </c>
      <c r="AN144" t="n">
        <v>1142.31</v>
      </c>
      <c r="AP144" t="n">
        <v>1011.75</v>
      </c>
      <c r="AQ144" t="n">
        <v>1189.34</v>
      </c>
    </row>
    <row r="145">
      <c r="A145" t="n">
        <v>8</v>
      </c>
      <c r="B145">
        <f>INDEX(V_Noms,MATCH(8,V_Rangs,0))</f>
        <v/>
      </c>
      <c r="C145">
        <f>INDEX(V_Valeurs,MATCH(8,V_Rangs,0))</f>
        <v/>
      </c>
      <c r="D145">
        <f>IF(VillePct,IF((C145)&gt;=0,"+","")&amp;FIXED((C145)*100,1)&amp;" %",FIXED(C145,0)&amp;" $")</f>
        <v/>
      </c>
      <c r="AJ145" t="n">
        <v>1849.78</v>
      </c>
      <c r="AK145" t="n">
        <v>1348.75</v>
      </c>
      <c r="AM145" t="n">
        <v>1259.31</v>
      </c>
      <c r="AN145" t="n">
        <v>1144.78</v>
      </c>
      <c r="AP145" t="n">
        <v>1012.17</v>
      </c>
      <c r="AQ145" t="n">
        <v>1195.26</v>
      </c>
    </row>
    <row r="146">
      <c r="A146" t="n">
        <v>9</v>
      </c>
      <c r="B146">
        <f>INDEX(V_Noms,MATCH(9,V_Rangs,0))</f>
        <v/>
      </c>
      <c r="C146">
        <f>INDEX(V_Valeurs,MATCH(9,V_Rangs,0))</f>
        <v/>
      </c>
      <c r="D146">
        <f>IF(VillePct,IF((C146)&gt;=0,"+","")&amp;FIXED((C146)*100,1)&amp;" %",FIXED(C146,0)&amp;" $")</f>
        <v/>
      </c>
      <c r="AJ146" t="n">
        <v>1847.75</v>
      </c>
      <c r="AK146" t="n">
        <v>1339.05</v>
      </c>
      <c r="AM146" t="n">
        <v>1262.06</v>
      </c>
      <c r="AN146" t="n">
        <v>1145.35</v>
      </c>
      <c r="AP146" t="n">
        <v>1016.41</v>
      </c>
      <c r="AQ146" t="n">
        <v>1198.85</v>
      </c>
    </row>
    <row r="147">
      <c r="A147" t="n">
        <v>10</v>
      </c>
      <c r="B147">
        <f>INDEX(V_Noms,MATCH(10,V_Rangs,0))</f>
        <v/>
      </c>
      <c r="C147">
        <f>INDEX(V_Valeurs,MATCH(10,V_Rangs,0))</f>
        <v/>
      </c>
      <c r="D147">
        <f>IF(VillePct,IF((C147)&gt;=0,"+","")&amp;FIXED((C147)*100,1)&amp;" %",FIXED(C147,0)&amp;" $")</f>
        <v/>
      </c>
      <c r="AJ147" t="n">
        <v>1859.18</v>
      </c>
      <c r="AK147" t="n">
        <v>1342.62</v>
      </c>
      <c r="AM147" t="n">
        <v>1262.21</v>
      </c>
      <c r="AN147" t="n">
        <v>1143.64</v>
      </c>
      <c r="AP147" t="n">
        <v>1018.25</v>
      </c>
      <c r="AQ147" t="n">
        <v>1194.14</v>
      </c>
    </row>
    <row r="148">
      <c r="AJ148" t="n">
        <v>1858</v>
      </c>
      <c r="AK148" t="n">
        <v>1334.03</v>
      </c>
      <c r="AM148" t="n">
        <v>1265.55</v>
      </c>
      <c r="AN148" t="n">
        <v>1144.71</v>
      </c>
      <c r="AP148" t="n">
        <v>1014.69</v>
      </c>
      <c r="AQ148" t="n">
        <v>1186.39</v>
      </c>
    </row>
    <row r="149">
      <c r="AJ149" t="n">
        <v>1871.24</v>
      </c>
      <c r="AK149" t="n">
        <v>1331.59</v>
      </c>
      <c r="AM149" t="n">
        <v>1269.19</v>
      </c>
      <c r="AN149" t="n">
        <v>1151.49</v>
      </c>
    </row>
    <row r="150">
      <c r="A150" s="46" t="inlineStr">
        <is>
          <t>Trimestre</t>
        </is>
      </c>
      <c r="B150" s="46" t="inlineStr">
        <is>
          <t>Loyer demandé</t>
        </is>
      </c>
      <c r="C150" s="46" t="inlineStr">
        <is>
          <t>Loyer payé</t>
        </is>
      </c>
      <c r="AJ150" t="n">
        <v>1873.5</v>
      </c>
      <c r="AK150" t="n">
        <v>1326.43</v>
      </c>
      <c r="AM150" t="n">
        <v>1272.85</v>
      </c>
      <c r="AN150" t="n">
        <v>1149.19</v>
      </c>
      <c r="AP150" t="n">
        <v>1013.86</v>
      </c>
      <c r="AQ150" t="n">
        <v>1182.41</v>
      </c>
    </row>
    <row r="151">
      <c r="A151" t="inlineStr">
        <is>
          <t>2025 T3</t>
        </is>
      </c>
      <c r="B151" s="84">
        <f>SUMIFS(T_Loyer,T_ID,VilleSelID,T_Est,"Demandé",T_Periode,"2025 T3")</f>
        <v/>
      </c>
      <c r="C151" s="84">
        <f>SUMIFS(T_Loyer,T_ID,VilleSelID,T_Est,"Payé",T_Periode,"2025 T3")</f>
        <v/>
      </c>
      <c r="AJ151" t="n">
        <v>1863.24</v>
      </c>
      <c r="AK151" t="n">
        <v>1323.5</v>
      </c>
      <c r="AM151" t="n">
        <v>1276.1</v>
      </c>
      <c r="AN151" t="n">
        <v>1151.26</v>
      </c>
      <c r="AP151" t="n">
        <v>1016.05</v>
      </c>
      <c r="AQ151" t="n">
        <v>1187.15</v>
      </c>
    </row>
    <row r="152">
      <c r="A152" t="inlineStr">
        <is>
          <t>2025 T4</t>
        </is>
      </c>
      <c r="B152" s="84">
        <f>SUMIFS(T_Loyer,T_ID,VilleSelID,T_Est,"Demandé",T_Periode,"2025 T4")</f>
        <v/>
      </c>
      <c r="C152" s="84">
        <f>SUMIFS(T_Loyer,T_ID,VilleSelID,T_Est,"Payé",T_Periode,"2025 T4")</f>
        <v/>
      </c>
      <c r="AJ152" t="n">
        <v>1878.35</v>
      </c>
      <c r="AK152" t="n">
        <v>1315.86</v>
      </c>
      <c r="AM152" t="n">
        <v>1278.32</v>
      </c>
      <c r="AN152" t="n">
        <v>1150.21</v>
      </c>
      <c r="AP152" t="n">
        <v>1018.47</v>
      </c>
      <c r="AQ152" t="n">
        <v>1187.23</v>
      </c>
    </row>
    <row r="153">
      <c r="A153" t="inlineStr">
        <is>
          <t>2026 T1</t>
        </is>
      </c>
      <c r="B153" s="84">
        <f>SUMIFS(T_Loyer,T_ID,VilleSelID,T_Est,"Demandé",T_Periode,"2026 T1")</f>
        <v/>
      </c>
      <c r="C153" s="84">
        <f>SUMIFS(T_Loyer,T_ID,VilleSelID,T_Est,"Payé",T_Periode,"2026 T1")</f>
        <v/>
      </c>
      <c r="AJ153" t="n">
        <v>1889.42</v>
      </c>
      <c r="AK153" t="n">
        <v>1317.47</v>
      </c>
      <c r="AM153" t="n">
        <v>1280.15</v>
      </c>
      <c r="AN153" t="n">
        <v>1148.57</v>
      </c>
      <c r="AP153" t="n">
        <v>1013.86</v>
      </c>
      <c r="AQ153" t="n">
        <v>1182.41</v>
      </c>
    </row>
    <row r="154">
      <c r="A154" t="inlineStr">
        <is>
          <t>2026 T2</t>
        </is>
      </c>
      <c r="B154" s="84">
        <f>SUMIFS(T_Loyer,T_ID,VilleSelID,T_Est,"Demandé",T_Periode,"2026 T2")</f>
        <v/>
      </c>
      <c r="C154" s="84">
        <f>SUMIFS(T_Loyer,T_ID,VilleSelID,T_Est,"Payé",T_Periode,"2026 T2")</f>
        <v/>
      </c>
      <c r="AJ154" t="n">
        <v>1892.86</v>
      </c>
      <c r="AK154" t="n">
        <v>1305.34</v>
      </c>
      <c r="AM154" t="n">
        <v>1278.74</v>
      </c>
      <c r="AN154" t="n">
        <v>1146.44</v>
      </c>
    </row>
    <row r="155">
      <c r="AJ155" t="n">
        <v>1898.2</v>
      </c>
      <c r="AK155" t="n">
        <v>1313.11</v>
      </c>
      <c r="AM155" t="n">
        <v>1284.14</v>
      </c>
      <c r="AN155" t="n">
        <v>1147.66</v>
      </c>
      <c r="AP155" t="n">
        <v>1008.95</v>
      </c>
      <c r="AQ155" t="n">
        <v>1166.27</v>
      </c>
    </row>
    <row r="156">
      <c r="AJ156" t="n">
        <v>1901.65</v>
      </c>
      <c r="AK156" t="n">
        <v>1305.24</v>
      </c>
      <c r="AM156" t="n">
        <v>1266.29</v>
      </c>
      <c r="AN156" t="n">
        <v>1127.07</v>
      </c>
      <c r="AP156" t="n">
        <v>1008.63</v>
      </c>
      <c r="AQ156" t="n">
        <v>1169.96</v>
      </c>
    </row>
    <row r="157">
      <c r="AJ157" t="n">
        <v>1903.37</v>
      </c>
      <c r="AK157" t="n">
        <v>1313.84</v>
      </c>
      <c r="AM157" t="n">
        <v>1260.14</v>
      </c>
      <c r="AN157" t="n">
        <v>1123.52</v>
      </c>
      <c r="AP157" t="n">
        <v>1010.46</v>
      </c>
      <c r="AQ157" t="n">
        <v>1170.44</v>
      </c>
    </row>
    <row r="158">
      <c r="AJ158" t="n">
        <v>1924.37</v>
      </c>
      <c r="AK158" t="n">
        <v>1313.98</v>
      </c>
      <c r="AM158" t="n">
        <v>1261.67</v>
      </c>
      <c r="AN158" t="n">
        <v>1120.3</v>
      </c>
      <c r="AP158" t="n">
        <v>1008.95</v>
      </c>
      <c r="AQ158" t="n">
        <v>1166.27</v>
      </c>
    </row>
    <row r="159">
      <c r="AJ159" t="n">
        <v>1906.25</v>
      </c>
      <c r="AK159" t="n">
        <v>1285.27</v>
      </c>
      <c r="AM159" t="n">
        <v>1259.72</v>
      </c>
      <c r="AN159" t="n">
        <v>1119.38</v>
      </c>
    </row>
    <row r="160">
      <c r="AJ160" t="n">
        <v>1909.88</v>
      </c>
      <c r="AK160" t="n">
        <v>1279.62</v>
      </c>
      <c r="AM160" t="n">
        <v>1255.79</v>
      </c>
      <c r="AN160" t="n">
        <v>1120.87</v>
      </c>
      <c r="AP160" t="n">
        <v>1021.62</v>
      </c>
      <c r="AQ160" t="n">
        <v>1135.4</v>
      </c>
    </row>
    <row r="161">
      <c r="AJ161" t="n">
        <v>1920.83</v>
      </c>
      <c r="AK161" t="n">
        <v>1304.7</v>
      </c>
      <c r="AM161" t="n">
        <v>1255.92</v>
      </c>
      <c r="AN161" t="n">
        <v>1117.6</v>
      </c>
      <c r="AP161" t="n">
        <v>1021.06</v>
      </c>
      <c r="AQ161" t="n">
        <v>1119.86</v>
      </c>
    </row>
    <row r="162">
      <c r="AJ162" t="n">
        <v>1928.09</v>
      </c>
      <c r="AK162" t="n">
        <v>1307.61</v>
      </c>
      <c r="AM162" t="n">
        <v>1254.29</v>
      </c>
      <c r="AN162" t="n">
        <v>1119</v>
      </c>
      <c r="AP162" t="n">
        <v>1027.28</v>
      </c>
      <c r="AQ162" t="n">
        <v>1108.18</v>
      </c>
    </row>
    <row r="163">
      <c r="AJ163" t="n">
        <v>1934.99</v>
      </c>
      <c r="AK163" t="n">
        <v>1297.93</v>
      </c>
      <c r="AM163" t="n">
        <v>1253.33</v>
      </c>
      <c r="AN163" t="n">
        <v>1117.76</v>
      </c>
      <c r="AP163" t="n">
        <v>1026.52</v>
      </c>
      <c r="AQ163" t="n">
        <v>1094.27</v>
      </c>
    </row>
    <row r="164">
      <c r="AJ164" t="n">
        <v>1939.86</v>
      </c>
      <c r="AK164" t="n">
        <v>1306.96</v>
      </c>
      <c r="AM164" t="n">
        <v>1254.97</v>
      </c>
      <c r="AN164" t="n">
        <v>1114.21</v>
      </c>
      <c r="AP164" t="n">
        <v>1023.3</v>
      </c>
      <c r="AQ164" t="n">
        <v>1094.43</v>
      </c>
    </row>
    <row r="165">
      <c r="AJ165" t="n">
        <v>1948.98</v>
      </c>
      <c r="AK165" t="n">
        <v>1303.96</v>
      </c>
      <c r="AM165" t="n">
        <v>1251.7</v>
      </c>
      <c r="AN165" t="n">
        <v>1103.49</v>
      </c>
      <c r="AP165" t="n">
        <v>1013.05</v>
      </c>
      <c r="AQ165" t="n">
        <v>1106.75</v>
      </c>
    </row>
    <row r="166">
      <c r="AJ166" t="n">
        <v>1955.88</v>
      </c>
      <c r="AK166" t="n">
        <v>1294.27</v>
      </c>
      <c r="AM166" t="n">
        <v>1248.18</v>
      </c>
      <c r="AN166" t="n">
        <v>1099.37</v>
      </c>
      <c r="AP166" t="n">
        <v>1011.65</v>
      </c>
      <c r="AQ166" t="n">
        <v>1110.57</v>
      </c>
    </row>
    <row r="167">
      <c r="AJ167" t="n">
        <v>1952.19</v>
      </c>
      <c r="AK167" t="n">
        <v>1289.71</v>
      </c>
      <c r="AM167" t="n">
        <v>1248.19</v>
      </c>
      <c r="AN167" t="n">
        <v>1095.85</v>
      </c>
      <c r="AP167" t="n">
        <v>1018.49</v>
      </c>
      <c r="AQ167" t="n">
        <v>1114.9</v>
      </c>
    </row>
    <row r="168">
      <c r="AJ168" t="n">
        <v>1961.58</v>
      </c>
      <c r="AK168" t="n">
        <v>1287.48</v>
      </c>
      <c r="AM168" t="n">
        <v>1244.53</v>
      </c>
      <c r="AN168" t="n">
        <v>1093.85</v>
      </c>
      <c r="AP168" t="n">
        <v>1016.04</v>
      </c>
      <c r="AQ168" t="n">
        <v>1112.68</v>
      </c>
    </row>
    <row r="169">
      <c r="AJ169" t="n">
        <v>1955.11</v>
      </c>
      <c r="AK169" t="n">
        <v>1269.39</v>
      </c>
      <c r="AM169" t="n">
        <v>1240</v>
      </c>
      <c r="AN169" t="n">
        <v>1097.14</v>
      </c>
      <c r="AP169" t="n">
        <v>1009.22</v>
      </c>
      <c r="AQ169" t="n">
        <v>1114.61</v>
      </c>
    </row>
    <row r="170">
      <c r="AM170" t="n">
        <v>1237.09</v>
      </c>
      <c r="AN170" t="n">
        <v>1096.09</v>
      </c>
      <c r="AP170" t="n">
        <v>1007.38</v>
      </c>
      <c r="AQ170" t="n">
        <v>1118.93</v>
      </c>
    </row>
    <row r="171">
      <c r="AJ171" t="n">
        <v>1969.47</v>
      </c>
      <c r="AK171" t="n">
        <v>1277.14</v>
      </c>
      <c r="AM171" t="n">
        <v>1233.95</v>
      </c>
      <c r="AN171" t="n">
        <v>1101.15</v>
      </c>
      <c r="AP171" t="n">
        <v>1010.13</v>
      </c>
      <c r="AQ171" t="n">
        <v>1119.34</v>
      </c>
    </row>
    <row r="172">
      <c r="AJ172" t="n">
        <v>1974.3</v>
      </c>
      <c r="AK172" t="n">
        <v>1243.7</v>
      </c>
      <c r="AM172" t="n">
        <v>1234.78</v>
      </c>
      <c r="AN172" t="n">
        <v>1109.85</v>
      </c>
      <c r="AP172" t="n">
        <v>1007.62</v>
      </c>
      <c r="AQ172" t="n">
        <v>1122.03</v>
      </c>
    </row>
    <row r="173">
      <c r="AJ173" t="n">
        <v>1975.91</v>
      </c>
      <c r="AK173" t="n">
        <v>1254.93</v>
      </c>
      <c r="AM173" t="n">
        <v>1232.45</v>
      </c>
      <c r="AN173" t="n">
        <v>1106.91</v>
      </c>
      <c r="AP173" t="n">
        <v>1009.05</v>
      </c>
      <c r="AQ173" t="n">
        <v>1124.22</v>
      </c>
    </row>
    <row r="174">
      <c r="AJ174" t="n">
        <v>1983.52</v>
      </c>
      <c r="AK174" t="n">
        <v>1257.1</v>
      </c>
      <c r="AM174" t="n">
        <v>1245.62</v>
      </c>
      <c r="AN174" t="n">
        <v>1129.66</v>
      </c>
      <c r="AP174" t="n">
        <v>1003.3</v>
      </c>
      <c r="AQ174" t="n">
        <v>1128.08</v>
      </c>
    </row>
    <row r="175">
      <c r="AJ175" t="n">
        <v>1980.82</v>
      </c>
      <c r="AK175" t="n">
        <v>1247.96</v>
      </c>
      <c r="AM175" t="n">
        <v>1247.09</v>
      </c>
      <c r="AN175" t="n">
        <v>1129.75</v>
      </c>
      <c r="AP175" t="n">
        <v>1004.84</v>
      </c>
      <c r="AQ175" t="n">
        <v>1130.61</v>
      </c>
    </row>
    <row r="176">
      <c r="AJ176" t="n">
        <v>1990.51</v>
      </c>
      <c r="AK176" t="n">
        <v>1251.88</v>
      </c>
      <c r="AM176" t="n">
        <v>1248.01</v>
      </c>
      <c r="AN176" t="n">
        <v>1126.86</v>
      </c>
      <c r="AP176" t="n">
        <v>1009.61</v>
      </c>
      <c r="AQ176" t="n">
        <v>1129.36</v>
      </c>
    </row>
    <row r="177">
      <c r="AJ177" t="n">
        <v>1993.35</v>
      </c>
      <c r="AK177" t="n">
        <v>1244.78</v>
      </c>
      <c r="AM177" t="n">
        <v>1251.52</v>
      </c>
      <c r="AN177" t="n">
        <v>1126.14</v>
      </c>
      <c r="AP177" t="n">
        <v>1006.01</v>
      </c>
      <c r="AQ177" t="n">
        <v>1132.75</v>
      </c>
    </row>
    <row r="178">
      <c r="AJ178" t="n">
        <v>1997.22</v>
      </c>
      <c r="AK178" t="n">
        <v>1256.7</v>
      </c>
      <c r="AM178" t="n">
        <v>1250.48</v>
      </c>
      <c r="AN178" t="n">
        <v>1129.57</v>
      </c>
      <c r="AP178" t="n">
        <v>1005.81</v>
      </c>
      <c r="AQ178" t="n">
        <v>1136.54</v>
      </c>
    </row>
    <row r="179">
      <c r="AJ179" t="n">
        <v>2007.63</v>
      </c>
      <c r="AK179" t="n">
        <v>1259.32</v>
      </c>
      <c r="AM179" t="n">
        <v>1257.64</v>
      </c>
      <c r="AN179" t="n">
        <v>1135.71</v>
      </c>
      <c r="AP179" t="n">
        <v>1002.01</v>
      </c>
      <c r="AQ179" t="n">
        <v>1138.27</v>
      </c>
    </row>
    <row r="180">
      <c r="AJ180" t="n">
        <v>2011.92</v>
      </c>
      <c r="AK180" t="n">
        <v>1242.81</v>
      </c>
      <c r="AM180" t="n">
        <v>1240.67</v>
      </c>
      <c r="AN180" t="n">
        <v>1127.6</v>
      </c>
      <c r="AP180" t="n">
        <v>1003.16</v>
      </c>
      <c r="AQ180" t="n">
        <v>1142.87</v>
      </c>
    </row>
    <row r="181">
      <c r="AJ181" t="n">
        <v>2019.85</v>
      </c>
      <c r="AK181" t="n">
        <v>1253.35</v>
      </c>
      <c r="AM181" t="n">
        <v>1243.26</v>
      </c>
      <c r="AN181" t="n">
        <v>1138.32</v>
      </c>
      <c r="AP181" t="n">
        <v>1001.48</v>
      </c>
      <c r="AQ181" t="n">
        <v>1142.08</v>
      </c>
    </row>
    <row r="182">
      <c r="AJ182" t="n">
        <v>2017.97</v>
      </c>
      <c r="AK182" t="n">
        <v>1238.87</v>
      </c>
      <c r="AP182" t="n">
        <v>1001.26</v>
      </c>
      <c r="AQ182" t="n">
        <v>1144.47</v>
      </c>
    </row>
    <row r="183">
      <c r="AJ183" t="n">
        <v>2023.57</v>
      </c>
      <c r="AK183" t="n">
        <v>1234.84</v>
      </c>
      <c r="AM183" t="n">
        <v>1277.83</v>
      </c>
      <c r="AN183" t="n">
        <v>1157.55</v>
      </c>
      <c r="AP183" t="n">
        <v>997.3099999999999</v>
      </c>
      <c r="AQ183" t="n">
        <v>1146.34</v>
      </c>
    </row>
    <row r="184">
      <c r="AJ184" t="n">
        <v>2026.4</v>
      </c>
      <c r="AK184" t="n">
        <v>1247.05</v>
      </c>
      <c r="AM184" t="n">
        <v>1280.3</v>
      </c>
      <c r="AN184" t="n">
        <v>1159.45</v>
      </c>
      <c r="AP184" t="n">
        <v>999.73</v>
      </c>
      <c r="AQ184" t="n">
        <v>1151.18</v>
      </c>
    </row>
    <row r="185">
      <c r="AJ185" t="n">
        <v>2039.08</v>
      </c>
      <c r="AK185" t="n">
        <v>1224.18</v>
      </c>
      <c r="AM185" t="n">
        <v>1279.17</v>
      </c>
      <c r="AN185" t="n">
        <v>1156.85</v>
      </c>
      <c r="AP185" t="n">
        <v>1003.29</v>
      </c>
      <c r="AQ185" t="n">
        <v>1148.12</v>
      </c>
    </row>
    <row r="186">
      <c r="AJ186" t="n">
        <v>2034.2</v>
      </c>
      <c r="AK186" t="n">
        <v>1220.81</v>
      </c>
      <c r="AM186" t="n">
        <v>1280.54</v>
      </c>
      <c r="AN186" t="n">
        <v>1153.98</v>
      </c>
      <c r="AP186" t="n">
        <v>1005.13</v>
      </c>
      <c r="AQ186" t="n">
        <v>1150.65</v>
      </c>
    </row>
    <row r="187">
      <c r="AJ187" t="n">
        <v>2029.22</v>
      </c>
      <c r="AK187" t="n">
        <v>1228.07</v>
      </c>
      <c r="AM187" t="n">
        <v>1283.38</v>
      </c>
      <c r="AN187" t="n">
        <v>1156.28</v>
      </c>
      <c r="AP187" t="n">
        <v>998.34</v>
      </c>
      <c r="AQ187" t="n">
        <v>1153.72</v>
      </c>
    </row>
    <row r="188">
      <c r="AJ188" t="n">
        <v>2026.24</v>
      </c>
      <c r="AK188" t="n">
        <v>1220.29</v>
      </c>
      <c r="AM188" t="n">
        <v>1284.72</v>
      </c>
      <c r="AN188" t="n">
        <v>1161.61</v>
      </c>
      <c r="AP188" t="n">
        <v>998.55</v>
      </c>
      <c r="AQ188" t="n">
        <v>1158.12</v>
      </c>
    </row>
    <row r="189">
      <c r="AJ189" t="n">
        <v>2023.98</v>
      </c>
      <c r="AK189" t="n">
        <v>1230.66</v>
      </c>
      <c r="AM189" t="n">
        <v>1281.87</v>
      </c>
      <c r="AN189" t="n">
        <v>1159.89</v>
      </c>
      <c r="AP189" t="n">
        <v>1001.89</v>
      </c>
      <c r="AQ189" t="n">
        <v>1158.45</v>
      </c>
    </row>
    <row r="190">
      <c r="AJ190" t="n">
        <v>2016.42</v>
      </c>
      <c r="AK190" t="n">
        <v>1234.44</v>
      </c>
      <c r="AM190" t="n">
        <v>1283.59</v>
      </c>
      <c r="AN190" t="n">
        <v>1167.82</v>
      </c>
      <c r="AP190" t="n">
        <v>1021.62</v>
      </c>
      <c r="AQ190" t="n">
        <v>1135.4</v>
      </c>
    </row>
    <row r="191">
      <c r="AJ191" t="n">
        <v>2010.02</v>
      </c>
      <c r="AK191" t="n">
        <v>1209.46</v>
      </c>
      <c r="AM191" t="n">
        <v>1285.35</v>
      </c>
      <c r="AN191" t="n">
        <v>1166.37</v>
      </c>
    </row>
    <row r="192">
      <c r="AJ192" t="n">
        <v>2012.48</v>
      </c>
      <c r="AK192" t="n">
        <v>1227.6</v>
      </c>
      <c r="AM192" t="n">
        <v>1289.57</v>
      </c>
      <c r="AN192" t="n">
        <v>1168.07</v>
      </c>
      <c r="AP192" t="n">
        <v>1022.58</v>
      </c>
      <c r="AQ192" t="n">
        <v>1130.42</v>
      </c>
    </row>
    <row r="193">
      <c r="AJ193" t="n">
        <v>1967.65</v>
      </c>
      <c r="AK193" t="n">
        <v>1199.64</v>
      </c>
      <c r="AM193" t="n">
        <v>1290.01</v>
      </c>
      <c r="AN193" t="n">
        <v>1165.49</v>
      </c>
      <c r="AP193" t="n">
        <v>1024.41</v>
      </c>
      <c r="AQ193" t="n">
        <v>1135.79</v>
      </c>
    </row>
    <row r="194">
      <c r="AJ194" t="n">
        <v>1969.35</v>
      </c>
      <c r="AK194" t="n">
        <v>1218.57</v>
      </c>
      <c r="AM194" t="n">
        <v>1291.71</v>
      </c>
      <c r="AN194" t="n">
        <v>1165.21</v>
      </c>
      <c r="AP194" t="n">
        <v>1024.93</v>
      </c>
      <c r="AQ194" t="n">
        <v>1132.48</v>
      </c>
    </row>
    <row r="195">
      <c r="AJ195" t="n">
        <v>1960.67</v>
      </c>
      <c r="AK195" t="n">
        <v>1214.4</v>
      </c>
      <c r="AM195" t="n">
        <v>1285.5</v>
      </c>
      <c r="AN195" t="n">
        <v>1154.4</v>
      </c>
      <c r="AP195" t="n">
        <v>1022.58</v>
      </c>
      <c r="AQ195" t="n">
        <v>1130.42</v>
      </c>
    </row>
    <row r="196">
      <c r="AJ196" t="n">
        <v>1968.58</v>
      </c>
      <c r="AK196" t="n">
        <v>1227.64</v>
      </c>
      <c r="AM196" t="n">
        <v>1279.09</v>
      </c>
      <c r="AN196" t="n">
        <v>1150.62</v>
      </c>
    </row>
    <row r="197">
      <c r="AJ197" t="n">
        <v>1962.78</v>
      </c>
      <c r="AK197" t="n">
        <v>1232.33</v>
      </c>
      <c r="AM197" t="n">
        <v>1276.65</v>
      </c>
      <c r="AN197" t="n">
        <v>1151.54</v>
      </c>
      <c r="AP197" t="n">
        <v>1004.06</v>
      </c>
      <c r="AQ197" t="n">
        <v>1131.29</v>
      </c>
    </row>
    <row r="198">
      <c r="AJ198" t="n">
        <v>1959.72</v>
      </c>
      <c r="AK198" t="n">
        <v>1263.28</v>
      </c>
      <c r="AM198" t="n">
        <v>1272.79</v>
      </c>
      <c r="AN198" t="n">
        <v>1157.11</v>
      </c>
      <c r="AP198" t="n">
        <v>1003.46</v>
      </c>
      <c r="AQ198" t="n">
        <v>1136.56</v>
      </c>
    </row>
    <row r="199">
      <c r="AJ199" t="n">
        <v>1963.8</v>
      </c>
      <c r="AK199" t="n">
        <v>1277.22</v>
      </c>
      <c r="AM199" t="n">
        <v>1273.52</v>
      </c>
      <c r="AN199" t="n">
        <v>1172.23</v>
      </c>
      <c r="AP199" t="n">
        <v>1005.38</v>
      </c>
      <c r="AQ199" t="n">
        <v>1134.76</v>
      </c>
    </row>
    <row r="200">
      <c r="AJ200" t="n">
        <v>1969.47</v>
      </c>
      <c r="AK200" t="n">
        <v>1277.14</v>
      </c>
      <c r="AM200" t="n">
        <v>1276.63</v>
      </c>
      <c r="AN200" t="n">
        <v>1177.89</v>
      </c>
      <c r="AP200" t="n">
        <v>1004.06</v>
      </c>
      <c r="AQ200" t="n">
        <v>1131.29</v>
      </c>
    </row>
    <row r="201">
      <c r="AM201" t="n">
        <v>1279.55</v>
      </c>
      <c r="AN201" t="n">
        <v>1174.26</v>
      </c>
    </row>
    <row r="202">
      <c r="AJ202" t="n">
        <v>1927.62</v>
      </c>
      <c r="AK202" t="n">
        <v>1143.76</v>
      </c>
      <c r="AM202" t="n">
        <v>1281.92</v>
      </c>
      <c r="AN202" t="n">
        <v>1165.52</v>
      </c>
      <c r="AP202" t="n">
        <v>1025.5</v>
      </c>
      <c r="AQ202" t="n">
        <v>1120.15</v>
      </c>
    </row>
    <row r="203">
      <c r="AJ203" t="n">
        <v>1949.9</v>
      </c>
      <c r="AK203" t="n">
        <v>1150.14</v>
      </c>
      <c r="AM203" t="n">
        <v>1277.83</v>
      </c>
      <c r="AN203" t="n">
        <v>1157.55</v>
      </c>
      <c r="AP203" t="n">
        <v>1024.9</v>
      </c>
      <c r="AQ203" t="n">
        <v>1122.28</v>
      </c>
    </row>
    <row r="204">
      <c r="AJ204" t="n">
        <v>1953.54</v>
      </c>
      <c r="AK204" t="n">
        <v>1156.93</v>
      </c>
      <c r="AP204" t="n">
        <v>1026.89</v>
      </c>
      <c r="AQ204" t="n">
        <v>1120.56</v>
      </c>
    </row>
    <row r="205">
      <c r="AJ205" t="n">
        <v>1968.5</v>
      </c>
      <c r="AK205" t="n">
        <v>1153.1</v>
      </c>
      <c r="AM205" t="n">
        <v>1029.75</v>
      </c>
      <c r="AN205" t="n">
        <v>1196.61</v>
      </c>
      <c r="AP205" t="n">
        <v>1027.68</v>
      </c>
      <c r="AQ205" t="n">
        <v>1115.73</v>
      </c>
    </row>
    <row r="206">
      <c r="AJ206" t="n">
        <v>1937.68</v>
      </c>
      <c r="AK206" t="n">
        <v>1123.2</v>
      </c>
      <c r="AM206" t="n">
        <v>1018.54</v>
      </c>
      <c r="AN206" t="n">
        <v>1198.04</v>
      </c>
      <c r="AP206" t="n">
        <v>1025.5</v>
      </c>
      <c r="AQ206" t="n">
        <v>1120.15</v>
      </c>
    </row>
    <row r="207">
      <c r="AJ207" t="n">
        <v>1928.89</v>
      </c>
      <c r="AK207" t="n">
        <v>1099.29</v>
      </c>
      <c r="AM207" t="n">
        <v>1015.74</v>
      </c>
      <c r="AN207" t="n">
        <v>1199.86</v>
      </c>
    </row>
    <row r="208">
      <c r="AJ208" t="n">
        <v>1916.81</v>
      </c>
      <c r="AK208" t="n">
        <v>1112.34</v>
      </c>
      <c r="AM208" t="n">
        <v>1017.15</v>
      </c>
      <c r="AN208" t="n">
        <v>1202.18</v>
      </c>
      <c r="AP208" t="n">
        <v>1404.44</v>
      </c>
      <c r="AQ208" t="n">
        <v>1152.09</v>
      </c>
    </row>
    <row r="209">
      <c r="AJ209" t="n">
        <v>1929.97</v>
      </c>
      <c r="AK209" t="n">
        <v>1135.1</v>
      </c>
      <c r="AM209" t="n">
        <v>1024.42</v>
      </c>
      <c r="AN209" t="n">
        <v>1203.72</v>
      </c>
      <c r="AP209" t="n">
        <v>1362.16</v>
      </c>
      <c r="AQ209" t="n">
        <v>1101.69</v>
      </c>
    </row>
    <row r="210">
      <c r="AJ210" t="n">
        <v>1935.88</v>
      </c>
      <c r="AK210" t="n">
        <v>1131.58</v>
      </c>
      <c r="AM210" t="n">
        <v>1028.91</v>
      </c>
      <c r="AN210" t="n">
        <v>1199.61</v>
      </c>
      <c r="AP210" t="n">
        <v>1342.99</v>
      </c>
      <c r="AQ210" t="n">
        <v>1083.31</v>
      </c>
    </row>
    <row r="211">
      <c r="AJ211" t="n">
        <v>1942</v>
      </c>
      <c r="AK211" t="n">
        <v>1141.15</v>
      </c>
      <c r="AM211" t="n">
        <v>1029.75</v>
      </c>
      <c r="AN211" t="n">
        <v>1196.61</v>
      </c>
      <c r="AP211" t="n">
        <v>1339.55</v>
      </c>
      <c r="AQ211" t="n">
        <v>1017.01</v>
      </c>
    </row>
    <row r="212">
      <c r="AJ212" t="n">
        <v>1925.02</v>
      </c>
      <c r="AK212" t="n">
        <v>1133.04</v>
      </c>
      <c r="AP212" t="n">
        <v>1268.81</v>
      </c>
      <c r="AQ212" t="n">
        <v>1024.14</v>
      </c>
    </row>
    <row r="213">
      <c r="AJ213" t="n">
        <v>1927.62</v>
      </c>
      <c r="AK213" t="n">
        <v>1143.76</v>
      </c>
      <c r="AM213" t="n">
        <v>1045.86</v>
      </c>
      <c r="AN213" t="n">
        <v>1185.59</v>
      </c>
      <c r="AP213" t="n">
        <v>1280.38</v>
      </c>
      <c r="AQ213" t="n">
        <v>1141.61</v>
      </c>
    </row>
    <row r="214">
      <c r="AM214" t="n">
        <v>1043.47</v>
      </c>
      <c r="AN214" t="n">
        <v>1186.17</v>
      </c>
      <c r="AP214" t="n">
        <v>1291.67</v>
      </c>
      <c r="AQ214" t="n">
        <v>1211.86</v>
      </c>
    </row>
    <row r="215">
      <c r="AJ215" t="n">
        <v>1962.18</v>
      </c>
      <c r="AK215" t="n">
        <v>1162.98</v>
      </c>
      <c r="AM215" t="n">
        <v>1047.09</v>
      </c>
      <c r="AN215" t="n">
        <v>1188.12</v>
      </c>
      <c r="AP215" t="n">
        <v>1352.64</v>
      </c>
      <c r="AQ215" t="n">
        <v>1205.59</v>
      </c>
    </row>
    <row r="216">
      <c r="AJ216" t="n">
        <v>1967.73</v>
      </c>
      <c r="AK216" t="n">
        <v>1161.71</v>
      </c>
      <c r="AM216" t="n">
        <v>1045.86</v>
      </c>
      <c r="AN216" t="n">
        <v>1185.59</v>
      </c>
      <c r="AP216" t="n">
        <v>1350.35</v>
      </c>
      <c r="AQ216" t="n">
        <v>1189.89</v>
      </c>
    </row>
    <row r="217">
      <c r="AJ217" t="n">
        <v>1967.94</v>
      </c>
      <c r="AK217" t="n">
        <v>1173.26</v>
      </c>
      <c r="AP217" t="n">
        <v>1355.88</v>
      </c>
      <c r="AQ217" t="n">
        <v>1183.7</v>
      </c>
    </row>
    <row r="218">
      <c r="AJ218" t="n">
        <v>1976.06</v>
      </c>
      <c r="AK218" t="n">
        <v>1170.65</v>
      </c>
      <c r="AM218" t="n">
        <v>876.95</v>
      </c>
      <c r="AN218" t="n">
        <v>1128.9</v>
      </c>
      <c r="AP218" t="n">
        <v>1355.25</v>
      </c>
      <c r="AQ218" t="n">
        <v>1176.58</v>
      </c>
    </row>
    <row r="219">
      <c r="AJ219" t="n">
        <v>1961</v>
      </c>
      <c r="AK219" t="n">
        <v>1156.98</v>
      </c>
      <c r="AM219" t="n">
        <v>880.05</v>
      </c>
      <c r="AN219" t="n">
        <v>1188.58</v>
      </c>
      <c r="AP219" t="n">
        <v>1357.39</v>
      </c>
      <c r="AQ219" t="n">
        <v>1183.98</v>
      </c>
    </row>
    <row r="220">
      <c r="AJ220" t="n">
        <v>1960.99</v>
      </c>
      <c r="AK220" t="n">
        <v>1183.33</v>
      </c>
      <c r="AM220" t="n">
        <v>899.22</v>
      </c>
      <c r="AN220" t="n">
        <v>1206.96</v>
      </c>
      <c r="AP220" t="n">
        <v>1365.75</v>
      </c>
      <c r="AQ220" t="n">
        <v>1183.41</v>
      </c>
    </row>
    <row r="221">
      <c r="AJ221" t="n">
        <v>1966.27</v>
      </c>
      <c r="AK221" t="n">
        <v>1170.96</v>
      </c>
      <c r="AM221" t="n">
        <v>941.5</v>
      </c>
      <c r="AN221" t="n">
        <v>1257.36</v>
      </c>
      <c r="AP221" t="n">
        <v>1371.99</v>
      </c>
      <c r="AQ221" t="n">
        <v>1160.52</v>
      </c>
    </row>
    <row r="222">
      <c r="AJ222" t="n">
        <v>1962.18</v>
      </c>
      <c r="AK222" t="n">
        <v>1162.98</v>
      </c>
      <c r="AM222" t="n">
        <v>950.08</v>
      </c>
      <c r="AN222" t="n">
        <v>1251.32</v>
      </c>
      <c r="AP222" t="n">
        <v>1368.48</v>
      </c>
      <c r="AQ222" t="n">
        <v>1152.89</v>
      </c>
    </row>
    <row r="223">
      <c r="AM223" t="n">
        <v>956.0599999999999</v>
      </c>
      <c r="AN223" t="n">
        <v>1244.01</v>
      </c>
      <c r="AP223" t="n">
        <v>1386.25</v>
      </c>
      <c r="AQ223" t="n">
        <v>1158.35</v>
      </c>
    </row>
    <row r="224">
      <c r="AJ224" t="n">
        <v>1446.93</v>
      </c>
      <c r="AK224" t="n">
        <v>1337.51</v>
      </c>
      <c r="AM224" t="n">
        <v>975.4299999999999</v>
      </c>
      <c r="AN224" t="n">
        <v>1237.41</v>
      </c>
      <c r="AP224" t="n">
        <v>1404.44</v>
      </c>
      <c r="AQ224" t="n">
        <v>1152.09</v>
      </c>
    </row>
    <row r="225">
      <c r="AJ225" t="n">
        <v>1338.9</v>
      </c>
      <c r="AK225" t="n">
        <v>1382.39</v>
      </c>
      <c r="AM225" t="n">
        <v>978.84</v>
      </c>
      <c r="AN225" t="n">
        <v>1234.49</v>
      </c>
    </row>
    <row r="226">
      <c r="AJ226" t="n">
        <v>1341.19</v>
      </c>
      <c r="AK226" t="n">
        <v>1399.55</v>
      </c>
      <c r="AM226" t="n">
        <v>977.86</v>
      </c>
      <c r="AN226" t="n">
        <v>1229.74</v>
      </c>
      <c r="AP226" t="n">
        <v>1339.89</v>
      </c>
      <c r="AQ226" t="n">
        <v>1023.62</v>
      </c>
    </row>
    <row r="227">
      <c r="AJ227" t="n">
        <v>1323.55</v>
      </c>
      <c r="AK227" t="n">
        <v>1406.19</v>
      </c>
      <c r="AM227" t="n">
        <v>980.5</v>
      </c>
      <c r="AN227" t="n">
        <v>1233.64</v>
      </c>
      <c r="AP227" t="n">
        <v>1342.99</v>
      </c>
      <c r="AQ227" t="n">
        <v>1083.31</v>
      </c>
    </row>
    <row r="228">
      <c r="AJ228" t="n">
        <v>1327.42</v>
      </c>
      <c r="AK228" t="n">
        <v>1418.54</v>
      </c>
      <c r="AM228" t="n">
        <v>991.5700000000001</v>
      </c>
      <c r="AN228" t="n">
        <v>1235.44</v>
      </c>
      <c r="AP228" t="n">
        <v>1362.16</v>
      </c>
      <c r="AQ228" t="n">
        <v>1101.69</v>
      </c>
    </row>
    <row r="229">
      <c r="AJ229" t="n">
        <v>1319.71</v>
      </c>
      <c r="AK229" t="n">
        <v>1436.99</v>
      </c>
      <c r="AM229" t="n">
        <v>1004.91</v>
      </c>
      <c r="AN229" t="n">
        <v>1234.33</v>
      </c>
      <c r="AP229" t="n">
        <v>1404.44</v>
      </c>
      <c r="AQ229" t="n">
        <v>1152.09</v>
      </c>
    </row>
    <row r="230">
      <c r="AJ230" t="n">
        <v>1329.79</v>
      </c>
      <c r="AK230" t="n">
        <v>1463.68</v>
      </c>
      <c r="AM230" t="n">
        <v>1007.91</v>
      </c>
      <c r="AN230" t="n">
        <v>1232.18</v>
      </c>
      <c r="AP230" t="n">
        <v>1419</v>
      </c>
      <c r="AQ230" t="n">
        <v>1138.73</v>
      </c>
    </row>
    <row r="231">
      <c r="AJ231" t="n">
        <v>1324.88</v>
      </c>
      <c r="AK231" t="n">
        <v>1487.58</v>
      </c>
      <c r="AM231" t="n">
        <v>1009.18</v>
      </c>
      <c r="AN231" t="n">
        <v>1229.08</v>
      </c>
      <c r="AP231" t="n">
        <v>1438.37</v>
      </c>
      <c r="AQ231" t="n">
        <v>1132.14</v>
      </c>
    </row>
    <row r="232">
      <c r="AJ232" t="n">
        <v>1338.23</v>
      </c>
      <c r="AK232" t="n">
        <v>1502.75</v>
      </c>
      <c r="AM232" t="n">
        <v>1008.57</v>
      </c>
      <c r="AN232" t="n">
        <v>1219.11</v>
      </c>
      <c r="AP232" t="n">
        <v>1441.79</v>
      </c>
      <c r="AQ232" t="n">
        <v>1129.22</v>
      </c>
    </row>
    <row r="233">
      <c r="AJ233" t="n">
        <v>1331.19</v>
      </c>
      <c r="AK233" t="n">
        <v>1508.06</v>
      </c>
      <c r="AM233" t="n">
        <v>1012.55</v>
      </c>
      <c r="AN233" t="n">
        <v>1212.42</v>
      </c>
      <c r="AP233" t="n">
        <v>1440.81</v>
      </c>
      <c r="AQ233" t="n">
        <v>1124.47</v>
      </c>
    </row>
    <row r="234">
      <c r="AJ234" t="n">
        <v>1339.48</v>
      </c>
      <c r="AK234" t="n">
        <v>1523.49</v>
      </c>
      <c r="AM234" t="n">
        <v>1013.08</v>
      </c>
      <c r="AN234" t="n">
        <v>1198.76</v>
      </c>
      <c r="AP234" t="n">
        <v>1443.44</v>
      </c>
      <c r="AQ234" t="n">
        <v>1128.36</v>
      </c>
    </row>
    <row r="235">
      <c r="AJ235" t="n">
        <v>1328.68</v>
      </c>
      <c r="AK235" t="n">
        <v>1532.44</v>
      </c>
      <c r="AM235" t="n">
        <v>1021.8</v>
      </c>
      <c r="AN235" t="n">
        <v>1189.66</v>
      </c>
      <c r="AP235" t="n">
        <v>1454.51</v>
      </c>
      <c r="AQ235" t="n">
        <v>1130.17</v>
      </c>
    </row>
    <row r="236">
      <c r="AJ236" t="n">
        <v>1347.87</v>
      </c>
      <c r="AK236" t="n">
        <v>1557.95</v>
      </c>
      <c r="AM236" t="n">
        <v>1019.98</v>
      </c>
      <c r="AN236" t="n">
        <v>1185.7</v>
      </c>
      <c r="AP236" t="n">
        <v>1467.86</v>
      </c>
      <c r="AQ236" t="n">
        <v>1129.05</v>
      </c>
    </row>
    <row r="237">
      <c r="AJ237" t="n">
        <v>1351.29</v>
      </c>
      <c r="AK237" t="n">
        <v>1550.72</v>
      </c>
      <c r="AM237" t="n">
        <v>1022.85</v>
      </c>
      <c r="AN237" t="n">
        <v>1186.51</v>
      </c>
      <c r="AP237" t="n">
        <v>1470.85</v>
      </c>
      <c r="AQ237" t="n">
        <v>1126.91</v>
      </c>
    </row>
    <row r="238">
      <c r="AJ238" t="n">
        <v>1355.93</v>
      </c>
      <c r="AK238" t="n">
        <v>1560.52</v>
      </c>
      <c r="AM238" t="n">
        <v>1033.57</v>
      </c>
      <c r="AN238" t="n">
        <v>1179.94</v>
      </c>
      <c r="AP238" t="n">
        <v>1471.52</v>
      </c>
      <c r="AQ238" t="n">
        <v>1113.83</v>
      </c>
    </row>
    <row r="239">
      <c r="AJ239" t="n">
        <v>1365.9</v>
      </c>
      <c r="AK239" t="n">
        <v>1560.56</v>
      </c>
      <c r="AM239" t="n">
        <v>1037.03</v>
      </c>
      <c r="AN239" t="n">
        <v>1174.06</v>
      </c>
      <c r="AP239" t="n">
        <v>1475.49</v>
      </c>
      <c r="AQ239" t="n">
        <v>1107.14</v>
      </c>
    </row>
    <row r="240">
      <c r="AJ240" t="n">
        <v>1362.47</v>
      </c>
      <c r="AK240" t="n">
        <v>1554.18</v>
      </c>
      <c r="AM240" t="n">
        <v>1033.48</v>
      </c>
      <c r="AN240" t="n">
        <v>1168.68</v>
      </c>
      <c r="AP240" t="n">
        <v>1476.02</v>
      </c>
      <c r="AQ240" t="n">
        <v>1093.48</v>
      </c>
    </row>
    <row r="241">
      <c r="AJ241" t="n">
        <v>1393.2</v>
      </c>
      <c r="AK241" t="n">
        <v>1551.33</v>
      </c>
      <c r="AM241" t="n">
        <v>1039.05</v>
      </c>
      <c r="AN241" t="n">
        <v>1173.2</v>
      </c>
      <c r="AP241" t="n">
        <v>1484.74</v>
      </c>
      <c r="AQ241" t="n">
        <v>1084.39</v>
      </c>
    </row>
    <row r="242">
      <c r="AJ242" t="n">
        <v>1368.5</v>
      </c>
      <c r="AK242" t="n">
        <v>1548.48</v>
      </c>
      <c r="AM242" t="n">
        <v>1044.19</v>
      </c>
      <c r="AN242" t="n">
        <v>1171.7</v>
      </c>
      <c r="AP242" t="n">
        <v>1482.92</v>
      </c>
      <c r="AQ242" t="n">
        <v>1080.43</v>
      </c>
    </row>
    <row r="243">
      <c r="AJ243" t="n">
        <v>1361.85</v>
      </c>
      <c r="AK243" t="n">
        <v>1545.85</v>
      </c>
      <c r="AM243" t="n">
        <v>1048.36</v>
      </c>
      <c r="AN243" t="n">
        <v>1167.92</v>
      </c>
      <c r="AP243" t="n">
        <v>1485.79</v>
      </c>
      <c r="AQ243" t="n">
        <v>1081.24</v>
      </c>
    </row>
    <row r="244">
      <c r="AJ244" t="n">
        <v>1364.96</v>
      </c>
      <c r="AK244" t="n">
        <v>1542.64</v>
      </c>
      <c r="AM244" t="n">
        <v>1059.82</v>
      </c>
      <c r="AN244" t="n">
        <v>1107.77</v>
      </c>
      <c r="AP244" t="n">
        <v>1496.51</v>
      </c>
      <c r="AQ244" t="n">
        <v>1074.66</v>
      </c>
    </row>
    <row r="245">
      <c r="AJ245" t="n">
        <v>1375.64</v>
      </c>
      <c r="AK245" t="n">
        <v>1547.85</v>
      </c>
      <c r="AM245" t="n">
        <v>1070.71</v>
      </c>
      <c r="AN245" t="n">
        <v>1093.26</v>
      </c>
      <c r="AP245" t="n">
        <v>1499.97</v>
      </c>
      <c r="AQ245" t="n">
        <v>1068.79</v>
      </c>
    </row>
    <row r="246">
      <c r="AJ246" t="n">
        <v>1377.42</v>
      </c>
      <c r="AK246" t="n">
        <v>1541.99</v>
      </c>
      <c r="AM246" t="n">
        <v>1076.6</v>
      </c>
      <c r="AN246" t="n">
        <v>1091.26</v>
      </c>
      <c r="AP246" t="n">
        <v>1496.42</v>
      </c>
      <c r="AQ246" t="n">
        <v>1063.4</v>
      </c>
    </row>
    <row r="247">
      <c r="AJ247" t="n">
        <v>1392.83</v>
      </c>
      <c r="AK247" t="n">
        <v>1542.38</v>
      </c>
      <c r="AM247" t="n">
        <v>1086.2</v>
      </c>
      <c r="AN247" t="n">
        <v>1091.38</v>
      </c>
      <c r="AP247" t="n">
        <v>1502</v>
      </c>
      <c r="AQ247" t="n">
        <v>1067.92</v>
      </c>
    </row>
    <row r="248">
      <c r="AJ248" t="n">
        <v>1405.01</v>
      </c>
      <c r="AK248" t="n">
        <v>1551.31</v>
      </c>
      <c r="AM248" t="n">
        <v>1096.42</v>
      </c>
      <c r="AN248" t="n">
        <v>1086.5</v>
      </c>
      <c r="AP248" t="n">
        <v>1511.3</v>
      </c>
      <c r="AQ248" t="n">
        <v>1062.64</v>
      </c>
    </row>
    <row r="249">
      <c r="AJ249" t="n">
        <v>1406.29</v>
      </c>
      <c r="AK249" t="n">
        <v>1526.22</v>
      </c>
      <c r="AM249" t="n">
        <v>1097.84</v>
      </c>
      <c r="AN249" t="n">
        <v>1088.48</v>
      </c>
      <c r="AP249" t="n">
        <v>1522.76</v>
      </c>
      <c r="AQ249" t="n">
        <v>1002.5</v>
      </c>
    </row>
    <row r="250">
      <c r="AJ250" t="n">
        <v>1418.01</v>
      </c>
      <c r="AK250" t="n">
        <v>1535.18</v>
      </c>
      <c r="AM250" t="n">
        <v>1104.24</v>
      </c>
      <c r="AN250" t="n">
        <v>1083.12</v>
      </c>
      <c r="AP250" t="n">
        <v>1533.65</v>
      </c>
      <c r="AQ250" t="n">
        <v>987.99</v>
      </c>
    </row>
    <row r="251">
      <c r="AJ251" t="n">
        <v>1412.21</v>
      </c>
      <c r="AK251" t="n">
        <v>1523.42</v>
      </c>
      <c r="AM251" t="n">
        <v>1110.86</v>
      </c>
      <c r="AN251" t="n">
        <v>1083.32</v>
      </c>
      <c r="AP251" t="n">
        <v>1549.14</v>
      </c>
      <c r="AQ251" t="n">
        <v>986.11</v>
      </c>
    </row>
    <row r="252">
      <c r="AJ252" t="n">
        <v>1423.44</v>
      </c>
      <c r="AK252" t="n">
        <v>1525.8</v>
      </c>
      <c r="AM252" t="n">
        <v>1125.72</v>
      </c>
      <c r="AN252" t="n">
        <v>1091.15</v>
      </c>
      <c r="AP252" t="n">
        <v>1559.36</v>
      </c>
      <c r="AQ252" t="n">
        <v>981.23</v>
      </c>
    </row>
    <row r="253">
      <c r="AJ253" t="n">
        <v>1432.9</v>
      </c>
      <c r="AK253" t="n">
        <v>1517.53</v>
      </c>
      <c r="AM253" t="n">
        <v>1128.32</v>
      </c>
      <c r="AN253" t="n">
        <v>1090.59</v>
      </c>
      <c r="AP253" t="n">
        <v>1560.78</v>
      </c>
      <c r="AQ253" t="n">
        <v>983.21</v>
      </c>
    </row>
    <row r="254">
      <c r="AJ254" t="n">
        <v>1421.9</v>
      </c>
      <c r="AK254" t="n">
        <v>1492.1</v>
      </c>
      <c r="AM254" t="n">
        <v>1128.52</v>
      </c>
      <c r="AN254" t="n">
        <v>1086.23</v>
      </c>
      <c r="AP254" t="n">
        <v>1567.19</v>
      </c>
      <c r="AQ254" t="n">
        <v>977.85</v>
      </c>
    </row>
    <row r="255">
      <c r="AJ255" t="n">
        <v>1456.32</v>
      </c>
      <c r="AK255" t="n">
        <v>1432.16</v>
      </c>
      <c r="AM255" t="n">
        <v>1130.56</v>
      </c>
      <c r="AN255" t="n">
        <v>1084.96</v>
      </c>
      <c r="AP255" t="n">
        <v>1573.8</v>
      </c>
      <c r="AQ255" t="n">
        <v>978.05</v>
      </c>
    </row>
    <row r="256">
      <c r="AJ256" t="n">
        <v>1468.62</v>
      </c>
      <c r="AK256" t="n">
        <v>1428.22</v>
      </c>
      <c r="AM256" t="n">
        <v>1127.27</v>
      </c>
      <c r="AN256" t="n">
        <v>1079.99</v>
      </c>
      <c r="AP256" t="n">
        <v>1588.66</v>
      </c>
      <c r="AQ256" t="n">
        <v>985.88</v>
      </c>
    </row>
    <row r="257">
      <c r="AJ257" t="n">
        <v>1476.84</v>
      </c>
      <c r="AK257" t="n">
        <v>1413.15</v>
      </c>
      <c r="AM257" t="n">
        <v>1121.91</v>
      </c>
      <c r="AN257" t="n">
        <v>1076.69</v>
      </c>
      <c r="AP257" t="n">
        <v>1591.27</v>
      </c>
      <c r="AQ257" t="n">
        <v>985.3200000000001</v>
      </c>
    </row>
    <row r="258">
      <c r="AJ258" t="n">
        <v>1524.44</v>
      </c>
      <c r="AK258" t="n">
        <v>1393.29</v>
      </c>
      <c r="AM258" t="n">
        <v>1113.64</v>
      </c>
      <c r="AN258" t="n">
        <v>1064.78</v>
      </c>
      <c r="AP258" t="n">
        <v>1591.46</v>
      </c>
      <c r="AQ258" t="n">
        <v>980.96</v>
      </c>
    </row>
    <row r="259">
      <c r="AJ259" t="n">
        <v>1513.08</v>
      </c>
      <c r="AK259" t="n">
        <v>1322.57</v>
      </c>
      <c r="AM259" t="n">
        <v>1102.63</v>
      </c>
      <c r="AN259" t="n">
        <v>1056.57</v>
      </c>
      <c r="AP259" t="n">
        <v>1593.5</v>
      </c>
      <c r="AQ259" t="n">
        <v>979.6900000000001</v>
      </c>
    </row>
    <row r="260">
      <c r="AJ260" t="n">
        <v>1446.93</v>
      </c>
      <c r="AK260" t="n">
        <v>1337.51</v>
      </c>
      <c r="AM260" t="n">
        <v>1103.59</v>
      </c>
      <c r="AN260" t="n">
        <v>1059.18</v>
      </c>
      <c r="AP260" t="n">
        <v>1576.58</v>
      </c>
      <c r="AQ260" t="n">
        <v>959.51</v>
      </c>
    </row>
    <row r="261">
      <c r="AM261" t="n">
        <v>1096.03</v>
      </c>
      <c r="AN261" t="n">
        <v>1056.13</v>
      </c>
      <c r="AP261" t="n">
        <v>1565.58</v>
      </c>
      <c r="AQ261" t="n">
        <v>951.3</v>
      </c>
    </row>
    <row r="262">
      <c r="AJ262" t="n">
        <v>1521.25</v>
      </c>
      <c r="AK262" t="n">
        <v>1591.26</v>
      </c>
      <c r="AM262" t="n">
        <v>1099.31</v>
      </c>
      <c r="AN262" t="n">
        <v>1056.15</v>
      </c>
      <c r="AP262" t="n">
        <v>1566.53</v>
      </c>
      <c r="AQ262" t="n">
        <v>953.91</v>
      </c>
    </row>
    <row r="263">
      <c r="AJ263" t="n">
        <v>1517.9</v>
      </c>
      <c r="AK263" t="n">
        <v>1579.81</v>
      </c>
      <c r="AM263" t="n">
        <v>1101.23</v>
      </c>
      <c r="AN263" t="n">
        <v>1058.07</v>
      </c>
      <c r="AP263" t="n">
        <v>1558.97</v>
      </c>
      <c r="AQ263" t="n">
        <v>950.86</v>
      </c>
    </row>
    <row r="264">
      <c r="AJ264" t="n">
        <v>1502.42</v>
      </c>
      <c r="AK264" t="n">
        <v>1576.6</v>
      </c>
      <c r="AM264" t="n">
        <v>1101.88</v>
      </c>
      <c r="AN264" t="n">
        <v>1055.84</v>
      </c>
      <c r="AP264" t="n">
        <v>1567.69</v>
      </c>
      <c r="AQ264" t="n">
        <v>952.35</v>
      </c>
    </row>
    <row r="265">
      <c r="AJ265" t="n">
        <v>1498.6</v>
      </c>
      <c r="AK265" t="n">
        <v>1583.64</v>
      </c>
      <c r="AM265" t="n">
        <v>1104.75</v>
      </c>
      <c r="AN265" t="n">
        <v>1057.63</v>
      </c>
      <c r="AP265" t="n">
        <v>1566.23</v>
      </c>
      <c r="AQ265" t="n">
        <v>947.97</v>
      </c>
    </row>
    <row r="266">
      <c r="AJ266" t="n">
        <v>1515.34</v>
      </c>
      <c r="AK266" t="n">
        <v>1587.99</v>
      </c>
      <c r="AM266" t="n">
        <v>1103.13</v>
      </c>
      <c r="AN266" t="n">
        <v>1054.49</v>
      </c>
      <c r="AP266" t="n">
        <v>1557.58</v>
      </c>
      <c r="AQ266" t="n">
        <v>948.89</v>
      </c>
    </row>
    <row r="267">
      <c r="AJ267" t="n">
        <v>1503.17</v>
      </c>
      <c r="AK267" t="n">
        <v>1588.59</v>
      </c>
      <c r="AM267" t="n">
        <v>1105.17</v>
      </c>
      <c r="AN267" t="n">
        <v>1054.79</v>
      </c>
      <c r="AP267" t="n">
        <v>1542.05</v>
      </c>
      <c r="AQ267" t="n">
        <v>942.25</v>
      </c>
    </row>
    <row r="268">
      <c r="AJ268" t="n">
        <v>1504.18</v>
      </c>
      <c r="AK268" t="n">
        <v>1595.03</v>
      </c>
      <c r="AM268" t="n">
        <v>1103.29</v>
      </c>
      <c r="AN268" t="n">
        <v>1053.24</v>
      </c>
      <c r="AP268" t="n">
        <v>1536.54</v>
      </c>
      <c r="AQ268" t="n">
        <v>936.95</v>
      </c>
    </row>
    <row r="269">
      <c r="AJ269" t="n">
        <v>1494.24</v>
      </c>
      <c r="AK269" t="n">
        <v>1590.1</v>
      </c>
      <c r="AM269" t="n">
        <v>1094.64</v>
      </c>
      <c r="AN269" t="n">
        <v>1054.17</v>
      </c>
      <c r="AP269" t="n">
        <v>1533.84</v>
      </c>
      <c r="AQ269" t="n">
        <v>930.41</v>
      </c>
    </row>
    <row r="270">
      <c r="AJ270" t="n">
        <v>1488.39</v>
      </c>
      <c r="AK270" t="n">
        <v>1597.37</v>
      </c>
      <c r="AM270" t="n">
        <v>1079.11</v>
      </c>
      <c r="AN270" t="n">
        <v>1047.53</v>
      </c>
      <c r="AP270" t="n">
        <v>1539.95</v>
      </c>
      <c r="AQ270" t="n">
        <v>929.78</v>
      </c>
    </row>
    <row r="271">
      <c r="AJ271" t="n">
        <v>1501.04</v>
      </c>
      <c r="AK271" t="n">
        <v>1600.46</v>
      </c>
      <c r="AM271" t="n">
        <v>1073.6</v>
      </c>
      <c r="AN271" t="n">
        <v>1042.22</v>
      </c>
      <c r="AP271" t="n">
        <v>1543.08</v>
      </c>
      <c r="AQ271" t="n">
        <v>932.0599999999999</v>
      </c>
    </row>
    <row r="272">
      <c r="AJ272" t="n">
        <v>1492.87</v>
      </c>
      <c r="AK272" t="n">
        <v>1603.37</v>
      </c>
      <c r="AM272" t="n">
        <v>1070.9</v>
      </c>
      <c r="AN272" t="n">
        <v>1035.68</v>
      </c>
      <c r="AP272" t="n">
        <v>1546.03</v>
      </c>
      <c r="AQ272" t="n">
        <v>925.52</v>
      </c>
    </row>
    <row r="273">
      <c r="AJ273" t="n">
        <v>1503.06</v>
      </c>
      <c r="AK273" t="n">
        <v>1603.96</v>
      </c>
      <c r="AM273" t="n">
        <v>1077.01</v>
      </c>
      <c r="AN273" t="n">
        <v>1035.05</v>
      </c>
      <c r="AP273" t="n">
        <v>1529.77</v>
      </c>
      <c r="AQ273" t="n">
        <v>920.15</v>
      </c>
    </row>
    <row r="274">
      <c r="AJ274" t="n">
        <v>1496.85</v>
      </c>
      <c r="AK274" t="n">
        <v>1607.53</v>
      </c>
      <c r="AM274" t="n">
        <v>1080.14</v>
      </c>
      <c r="AN274" t="n">
        <v>1037.33</v>
      </c>
      <c r="AP274" t="n">
        <v>1527.47</v>
      </c>
      <c r="AQ274" t="n">
        <v>916.62</v>
      </c>
    </row>
    <row r="275">
      <c r="AJ275" t="n">
        <v>1505.47</v>
      </c>
      <c r="AK275" t="n">
        <v>1608.06</v>
      </c>
      <c r="AM275" t="n">
        <v>1083.08</v>
      </c>
      <c r="AN275" t="n">
        <v>1030.8</v>
      </c>
      <c r="AP275" t="n">
        <v>1532.35</v>
      </c>
      <c r="AQ275" t="n">
        <v>916.4299999999999</v>
      </c>
    </row>
    <row r="276">
      <c r="AJ276" t="n">
        <v>1506.73</v>
      </c>
      <c r="AK276" t="n">
        <v>1613.72</v>
      </c>
      <c r="AM276" t="n">
        <v>1066.83</v>
      </c>
      <c r="AN276" t="n">
        <v>1025.42</v>
      </c>
      <c r="AP276" t="n">
        <v>1515.03</v>
      </c>
      <c r="AQ276" t="n">
        <v>914.83</v>
      </c>
    </row>
    <row r="277">
      <c r="AJ277" t="n">
        <v>1521.25</v>
      </c>
      <c r="AK277" t="n">
        <v>1591.26</v>
      </c>
      <c r="AM277" t="n">
        <v>1064.53</v>
      </c>
      <c r="AN277" t="n">
        <v>1021.9</v>
      </c>
      <c r="AP277" t="n">
        <v>1509.93</v>
      </c>
      <c r="AQ277" t="n">
        <v>907.26</v>
      </c>
    </row>
    <row r="278">
      <c r="AM278" t="n">
        <v>1069.41</v>
      </c>
      <c r="AN278" t="n">
        <v>1021.7</v>
      </c>
      <c r="AP278" t="n">
        <v>1504.28</v>
      </c>
      <c r="AQ278" t="n">
        <v>904.5599999999999</v>
      </c>
    </row>
    <row r="279">
      <c r="AJ279" t="n">
        <v>1473.26</v>
      </c>
      <c r="AK279" t="n">
        <v>1584.65</v>
      </c>
      <c r="AM279" t="n">
        <v>1052.09</v>
      </c>
      <c r="AN279" t="n">
        <v>1020.1</v>
      </c>
      <c r="AP279" t="n">
        <v>1502.38</v>
      </c>
      <c r="AQ279" t="n">
        <v>900.08</v>
      </c>
    </row>
    <row r="280">
      <c r="AJ280" t="n">
        <v>1481.82</v>
      </c>
      <c r="AK280" t="n">
        <v>1581.41</v>
      </c>
      <c r="AM280" t="n">
        <v>1046.99</v>
      </c>
      <c r="AN280" t="n">
        <v>1012.53</v>
      </c>
      <c r="AP280" t="n">
        <v>1500.36</v>
      </c>
      <c r="AQ280" t="n">
        <v>901.79</v>
      </c>
    </row>
    <row r="281">
      <c r="AJ281" t="n">
        <v>1486.17</v>
      </c>
      <c r="AK281" t="n">
        <v>1565.34</v>
      </c>
      <c r="AM281" t="n">
        <v>1041.34</v>
      </c>
      <c r="AN281" t="n">
        <v>1009.83</v>
      </c>
      <c r="AP281" t="n">
        <v>1496.49</v>
      </c>
      <c r="AQ281" t="n">
        <v>900.51</v>
      </c>
    </row>
    <row r="282">
      <c r="AJ282" t="n">
        <v>1455.54</v>
      </c>
      <c r="AK282" t="n">
        <v>1555.24</v>
      </c>
      <c r="AM282" t="n">
        <v>1039.43</v>
      </c>
      <c r="AN282" t="n">
        <v>1005.35</v>
      </c>
      <c r="AP282" t="n">
        <v>1494.06</v>
      </c>
      <c r="AQ282" t="n">
        <v>901.4400000000001</v>
      </c>
    </row>
    <row r="283">
      <c r="AJ283" t="n">
        <v>1448.25</v>
      </c>
      <c r="AK283" t="n">
        <v>1545.48</v>
      </c>
      <c r="AM283" t="n">
        <v>1037.42</v>
      </c>
      <c r="AN283" t="n">
        <v>1007.06</v>
      </c>
      <c r="AP283" t="n">
        <v>1494.28</v>
      </c>
      <c r="AQ283" t="n">
        <v>905.65</v>
      </c>
    </row>
    <row r="284">
      <c r="AJ284" t="n">
        <v>1432.96</v>
      </c>
      <c r="AK284" t="n">
        <v>1545.23</v>
      </c>
      <c r="AM284" t="n">
        <v>1033.55</v>
      </c>
      <c r="AN284" t="n">
        <v>1005.78</v>
      </c>
      <c r="AP284" t="n">
        <v>1502.27</v>
      </c>
      <c r="AQ284" t="n">
        <v>908.08</v>
      </c>
    </row>
    <row r="285">
      <c r="AJ285" t="n">
        <v>1427.4</v>
      </c>
      <c r="AK285" t="n">
        <v>1565.79</v>
      </c>
      <c r="AM285" t="n">
        <v>1031.12</v>
      </c>
      <c r="AN285" t="n">
        <v>1006.71</v>
      </c>
      <c r="AP285" t="n">
        <v>1501.92</v>
      </c>
      <c r="AQ285" t="n">
        <v>910.39</v>
      </c>
    </row>
    <row r="286">
      <c r="AJ286" t="n">
        <v>1451.62</v>
      </c>
      <c r="AK286" t="n">
        <v>1587.3</v>
      </c>
      <c r="AM286" t="n">
        <v>1031.34</v>
      </c>
      <c r="AN286" t="n">
        <v>1010.93</v>
      </c>
      <c r="AP286" t="n">
        <v>1499.01</v>
      </c>
      <c r="AQ286" t="n">
        <v>911.05</v>
      </c>
    </row>
    <row r="287">
      <c r="AJ287" t="n">
        <v>1452.73</v>
      </c>
      <c r="AK287" t="n">
        <v>1598.11</v>
      </c>
      <c r="AM287" t="n">
        <v>1039.32</v>
      </c>
      <c r="AN287" t="n">
        <v>1013.35</v>
      </c>
      <c r="AP287" t="n">
        <v>1500.83</v>
      </c>
      <c r="AQ287" t="n">
        <v>919.49</v>
      </c>
    </row>
    <row r="288">
      <c r="AJ288" t="n">
        <v>1467.32</v>
      </c>
      <c r="AK288" t="n">
        <v>1594.02</v>
      </c>
      <c r="AM288" t="n">
        <v>1038.98</v>
      </c>
      <c r="AN288" t="n">
        <v>1015.67</v>
      </c>
      <c r="AP288" t="n">
        <v>1508.43</v>
      </c>
      <c r="AQ288" t="n">
        <v>927.5599999999999</v>
      </c>
    </row>
    <row r="289">
      <c r="AJ289" t="n">
        <v>1473.26</v>
      </c>
      <c r="AK289" t="n">
        <v>1584.65</v>
      </c>
      <c r="AM289" t="n">
        <v>1036.07</v>
      </c>
      <c r="AN289" t="n">
        <v>1016.33</v>
      </c>
      <c r="AP289" t="n">
        <v>1506.53</v>
      </c>
      <c r="AQ289" t="n">
        <v>939.38</v>
      </c>
    </row>
    <row r="290">
      <c r="AM290" t="n">
        <v>1037.88</v>
      </c>
      <c r="AN290" t="n">
        <v>1024.76</v>
      </c>
      <c r="AP290" t="n">
        <v>1510.61</v>
      </c>
      <c r="AQ290" t="n">
        <v>950.71</v>
      </c>
    </row>
    <row r="291">
      <c r="AJ291" t="n">
        <v>1508.89</v>
      </c>
      <c r="AK291" t="n">
        <v>1548.92</v>
      </c>
      <c r="AM291" t="n">
        <v>1045.49</v>
      </c>
      <c r="AN291" t="n">
        <v>1032.83</v>
      </c>
      <c r="AP291" t="n">
        <v>1508.65</v>
      </c>
      <c r="AQ291" t="n">
        <v>956.3200000000001</v>
      </c>
    </row>
    <row r="292">
      <c r="AJ292" t="n">
        <v>1494.58</v>
      </c>
      <c r="AK292" t="n">
        <v>1500.1</v>
      </c>
      <c r="AM292" t="n">
        <v>1043.59</v>
      </c>
      <c r="AN292" t="n">
        <v>1044.66</v>
      </c>
      <c r="AP292" t="n">
        <v>1503.67</v>
      </c>
      <c r="AQ292" t="n">
        <v>960.36</v>
      </c>
    </row>
    <row r="293">
      <c r="AJ293" t="n">
        <v>1455.88</v>
      </c>
      <c r="AK293" t="n">
        <v>1513.81</v>
      </c>
      <c r="AM293" t="n">
        <v>1047.67</v>
      </c>
      <c r="AN293" t="n">
        <v>1055.98</v>
      </c>
      <c r="AP293" t="n">
        <v>1508.72</v>
      </c>
      <c r="AQ293" t="n">
        <v>961.1900000000001</v>
      </c>
    </row>
    <row r="294">
      <c r="AJ294" t="n">
        <v>1454.73</v>
      </c>
      <c r="AK294" t="n">
        <v>1507.85</v>
      </c>
      <c r="AM294" t="n">
        <v>1045.7</v>
      </c>
      <c r="AN294" t="n">
        <v>1061.6</v>
      </c>
      <c r="AP294" t="n">
        <v>1509.74</v>
      </c>
      <c r="AQ294" t="n">
        <v>957.41</v>
      </c>
    </row>
    <row r="295">
      <c r="AJ295" t="n">
        <v>1456.11</v>
      </c>
      <c r="AK295" t="n">
        <v>1515.56</v>
      </c>
      <c r="AM295" t="n">
        <v>1040.73</v>
      </c>
      <c r="AN295" t="n">
        <v>1065.64</v>
      </c>
      <c r="AP295" t="n">
        <v>1511.67</v>
      </c>
      <c r="AQ295" t="n">
        <v>955.75</v>
      </c>
    </row>
    <row r="296">
      <c r="AJ296" t="n">
        <v>1487.13</v>
      </c>
      <c r="AK296" t="n">
        <v>1507.91</v>
      </c>
      <c r="AM296" t="n">
        <v>1045.78</v>
      </c>
      <c r="AN296" t="n">
        <v>1066.47</v>
      </c>
      <c r="AP296" t="n">
        <v>1513.51</v>
      </c>
      <c r="AQ296" t="n">
        <v>956.97</v>
      </c>
    </row>
    <row r="297">
      <c r="AJ297" t="n">
        <v>1477.75</v>
      </c>
      <c r="AK297" t="n">
        <v>1517.93</v>
      </c>
      <c r="AM297" t="n">
        <v>1046.8</v>
      </c>
      <c r="AN297" t="n">
        <v>1062.68</v>
      </c>
      <c r="AP297" t="n">
        <v>1512.12</v>
      </c>
      <c r="AQ297" t="n">
        <v>953.13</v>
      </c>
    </row>
    <row r="298">
      <c r="AJ298" t="n">
        <v>1457.32</v>
      </c>
      <c r="AK298" t="n">
        <v>1524.85</v>
      </c>
      <c r="AM298" t="n">
        <v>1048.73</v>
      </c>
      <c r="AN298" t="n">
        <v>1061.03</v>
      </c>
      <c r="AP298" t="n">
        <v>1514.77</v>
      </c>
      <c r="AQ298" t="n">
        <v>954.12</v>
      </c>
    </row>
    <row r="299">
      <c r="AJ299" t="n">
        <v>1455.88</v>
      </c>
      <c r="AK299" t="n">
        <v>1532.35</v>
      </c>
      <c r="AM299" t="n">
        <v>1050.57</v>
      </c>
      <c r="AN299" t="n">
        <v>1062.24</v>
      </c>
      <c r="AP299" t="n">
        <v>1515.32</v>
      </c>
      <c r="AQ299" t="n">
        <v>950.97</v>
      </c>
    </row>
    <row r="300">
      <c r="AJ300" t="n">
        <v>1474.53</v>
      </c>
      <c r="AK300" t="n">
        <v>1533.68</v>
      </c>
      <c r="AM300" t="n">
        <v>1049.18</v>
      </c>
      <c r="AN300" t="n">
        <v>1058.4</v>
      </c>
      <c r="AP300" t="n">
        <v>1518.37</v>
      </c>
      <c r="AQ300" t="n">
        <v>953.3099999999999</v>
      </c>
    </row>
    <row r="301">
      <c r="AJ301" t="n">
        <v>1459.64</v>
      </c>
      <c r="AK301" t="n">
        <v>1538.71</v>
      </c>
      <c r="AM301" t="n">
        <v>1051.83</v>
      </c>
      <c r="AN301" t="n">
        <v>1059.39</v>
      </c>
      <c r="AP301" t="n">
        <v>1525.96</v>
      </c>
      <c r="AQ301" t="n">
        <v>950.54</v>
      </c>
    </row>
    <row r="302">
      <c r="AJ302" t="n">
        <v>1466.38</v>
      </c>
      <c r="AK302" t="n">
        <v>1556.48</v>
      </c>
      <c r="AM302" t="n">
        <v>1052.37</v>
      </c>
      <c r="AN302" t="n">
        <v>1056.24</v>
      </c>
      <c r="AP302" t="n">
        <v>1524.79</v>
      </c>
      <c r="AQ302" t="n">
        <v>956.11</v>
      </c>
    </row>
    <row r="303">
      <c r="AJ303" t="n">
        <v>1489.15</v>
      </c>
      <c r="AK303" t="n">
        <v>1562.55</v>
      </c>
      <c r="AM303" t="n">
        <v>1055.43</v>
      </c>
      <c r="AN303" t="n">
        <v>1058.59</v>
      </c>
      <c r="AP303" t="n">
        <v>1530.25</v>
      </c>
      <c r="AQ303" t="n">
        <v>956.4299999999999</v>
      </c>
    </row>
    <row r="304">
      <c r="AJ304" t="n">
        <v>1485.04</v>
      </c>
      <c r="AK304" t="n">
        <v>1549.81</v>
      </c>
      <c r="AM304" t="n">
        <v>1063.02</v>
      </c>
      <c r="AN304" t="n">
        <v>1055.81</v>
      </c>
      <c r="AP304" t="n">
        <v>1523.93</v>
      </c>
      <c r="AQ304" t="n">
        <v>961.37</v>
      </c>
    </row>
    <row r="305">
      <c r="AJ305" t="n">
        <v>1495.79</v>
      </c>
      <c r="AK305" t="n">
        <v>1553.25</v>
      </c>
      <c r="AM305" t="n">
        <v>1063.61</v>
      </c>
      <c r="AN305" t="n">
        <v>1058.82</v>
      </c>
      <c r="AP305" t="n">
        <v>1523.42</v>
      </c>
      <c r="AQ305" t="n">
        <v>966.15</v>
      </c>
    </row>
    <row r="306">
      <c r="AJ306" t="n">
        <v>1501.5</v>
      </c>
      <c r="AK306" t="n">
        <v>1546.51</v>
      </c>
      <c r="AM306" t="n">
        <v>1061.85</v>
      </c>
      <c r="AN306" t="n">
        <v>1061.38</v>
      </c>
      <c r="AP306" t="n">
        <v>1519.8</v>
      </c>
      <c r="AQ306" t="n">
        <v>965.84</v>
      </c>
    </row>
    <row r="307">
      <c r="AJ307" t="n">
        <v>1497.31</v>
      </c>
      <c r="AK307" t="n">
        <v>1540.3</v>
      </c>
      <c r="AM307" t="n">
        <v>1063.79</v>
      </c>
      <c r="AN307" t="n">
        <v>1062.65</v>
      </c>
      <c r="AP307" t="n">
        <v>1512.36</v>
      </c>
      <c r="AQ307" t="n">
        <v>974.4</v>
      </c>
    </row>
    <row r="308">
      <c r="AJ308" t="n">
        <v>1508.89</v>
      </c>
      <c r="AK308" t="n">
        <v>1548.92</v>
      </c>
      <c r="AM308" t="n">
        <v>1067.31</v>
      </c>
      <c r="AN308" t="n">
        <v>1061.7</v>
      </c>
      <c r="AP308" t="n">
        <v>1502.88</v>
      </c>
      <c r="AQ308" t="n">
        <v>972.97</v>
      </c>
    </row>
    <row r="309">
      <c r="AM309" t="n">
        <v>1060.99</v>
      </c>
      <c r="AN309" t="n">
        <v>1066.65</v>
      </c>
      <c r="AP309" t="n">
        <v>1502.18</v>
      </c>
      <c r="AQ309" t="n">
        <v>975.72</v>
      </c>
    </row>
    <row r="310">
      <c r="AJ310" t="n">
        <v>1574.05</v>
      </c>
      <c r="AK310" t="n">
        <v>1316.3</v>
      </c>
      <c r="AM310" t="n">
        <v>1060.48</v>
      </c>
      <c r="AN310" t="n">
        <v>1071.42</v>
      </c>
      <c r="AP310" t="n">
        <v>1474.64</v>
      </c>
      <c r="AQ310" t="n">
        <v>974.96</v>
      </c>
    </row>
    <row r="311">
      <c r="AJ311" t="n">
        <v>1513.08</v>
      </c>
      <c r="AK311" t="n">
        <v>1322.57</v>
      </c>
      <c r="AM311" t="n">
        <v>1056.86</v>
      </c>
      <c r="AN311" t="n">
        <v>1071.11</v>
      </c>
      <c r="AP311" t="n">
        <v>1471.73</v>
      </c>
      <c r="AQ311" t="n">
        <v>975.66</v>
      </c>
    </row>
    <row r="312">
      <c r="AJ312" t="n">
        <v>1524.44</v>
      </c>
      <c r="AK312" t="n">
        <v>1393.29</v>
      </c>
      <c r="AM312" t="n">
        <v>1055.43</v>
      </c>
      <c r="AN312" t="n">
        <v>1074.81</v>
      </c>
      <c r="AP312" t="n">
        <v>1470.33</v>
      </c>
      <c r="AQ312" t="n">
        <v>979.04</v>
      </c>
    </row>
    <row r="313">
      <c r="AJ313" t="n">
        <v>1476.84</v>
      </c>
      <c r="AK313" t="n">
        <v>1413.15</v>
      </c>
      <c r="AM313" t="n">
        <v>1054.3</v>
      </c>
      <c r="AN313" t="n">
        <v>1074.07</v>
      </c>
      <c r="AP313" t="n">
        <v>1466.52</v>
      </c>
      <c r="AQ313" t="n">
        <v>977.17</v>
      </c>
    </row>
    <row r="314">
      <c r="AJ314" t="n">
        <v>1468.62</v>
      </c>
      <c r="AK314" t="n">
        <v>1428.22</v>
      </c>
      <c r="AM314" t="n">
        <v>1049.42</v>
      </c>
      <c r="AN314" t="n">
        <v>1079.67</v>
      </c>
      <c r="AP314" t="n">
        <v>1465.13</v>
      </c>
      <c r="AQ314" t="n">
        <v>982.86</v>
      </c>
    </row>
    <row r="315">
      <c r="AJ315" t="n">
        <v>1456.32</v>
      </c>
      <c r="AK315" t="n">
        <v>1432.16</v>
      </c>
      <c r="AM315" t="n">
        <v>1046.06</v>
      </c>
      <c r="AN315" t="n">
        <v>1078.91</v>
      </c>
      <c r="AP315" t="n">
        <v>1467.08</v>
      </c>
      <c r="AQ315" t="n">
        <v>984.86</v>
      </c>
    </row>
    <row r="316">
      <c r="AJ316" t="n">
        <v>1421.9</v>
      </c>
      <c r="AK316" t="n">
        <v>1492.1</v>
      </c>
      <c r="AM316" t="n">
        <v>1045.1</v>
      </c>
      <c r="AN316" t="n">
        <v>1080.18</v>
      </c>
      <c r="AP316" t="n">
        <v>1462.25</v>
      </c>
      <c r="AQ316" t="n">
        <v>985.9</v>
      </c>
    </row>
    <row r="317">
      <c r="AJ317" t="n">
        <v>1433.44</v>
      </c>
      <c r="AK317" t="n">
        <v>1515.94</v>
      </c>
      <c r="AM317" t="n">
        <v>1039.94</v>
      </c>
      <c r="AN317" t="n">
        <v>1078.25</v>
      </c>
      <c r="AP317" t="n">
        <v>1463.45</v>
      </c>
      <c r="AQ317" t="n">
        <v>992.23</v>
      </c>
    </row>
    <row r="318">
      <c r="AJ318" t="n">
        <v>1461.59</v>
      </c>
      <c r="AK318" t="n">
        <v>1488.72</v>
      </c>
      <c r="AM318" t="n">
        <v>1039.24</v>
      </c>
      <c r="AN318" t="n">
        <v>1081</v>
      </c>
      <c r="AP318" t="n">
        <v>1458.06</v>
      </c>
      <c r="AQ318" t="n">
        <v>996.76</v>
      </c>
    </row>
    <row r="319">
      <c r="AJ319" t="n">
        <v>1463.44</v>
      </c>
      <c r="AK319" t="n">
        <v>1481.71</v>
      </c>
      <c r="AM319" t="n">
        <v>1037.72</v>
      </c>
      <c r="AN319" t="n">
        <v>1079.68</v>
      </c>
      <c r="AP319" t="n">
        <v>1459.61</v>
      </c>
      <c r="AQ319" t="n">
        <v>1002.04</v>
      </c>
    </row>
    <row r="320">
      <c r="AJ320" t="n">
        <v>1453.01</v>
      </c>
      <c r="AK320" t="n">
        <v>1475.09</v>
      </c>
      <c r="AM320" t="n">
        <v>1011.7</v>
      </c>
      <c r="AN320" t="n">
        <v>1080.23</v>
      </c>
      <c r="AP320" t="n">
        <v>1446.95</v>
      </c>
      <c r="AQ320" t="n">
        <v>1002.51</v>
      </c>
    </row>
    <row r="321">
      <c r="AJ321" t="n">
        <v>1468.52</v>
      </c>
      <c r="AK321" t="n">
        <v>1467.01</v>
      </c>
      <c r="AM321" t="n">
        <v>1008.79</v>
      </c>
      <c r="AN321" t="n">
        <v>1080.93</v>
      </c>
      <c r="AP321" t="n">
        <v>1439.67</v>
      </c>
      <c r="AQ321" t="n">
        <v>1014.68</v>
      </c>
    </row>
    <row r="322">
      <c r="AJ322" t="n">
        <v>1484.5</v>
      </c>
      <c r="AK322" t="n">
        <v>1467.49</v>
      </c>
      <c r="AM322" t="n">
        <v>1007.39</v>
      </c>
      <c r="AN322" t="n">
        <v>1084.32</v>
      </c>
      <c r="AP322" t="n">
        <v>1430.69</v>
      </c>
      <c r="AQ322" t="n">
        <v>1014.32</v>
      </c>
    </row>
    <row r="323">
      <c r="AJ323" t="n">
        <v>1491.7</v>
      </c>
      <c r="AK323" t="n">
        <v>1458.59</v>
      </c>
      <c r="AM323" t="n">
        <v>1003.58</v>
      </c>
      <c r="AN323" t="n">
        <v>1082.44</v>
      </c>
      <c r="AP323" t="n">
        <v>1420.13</v>
      </c>
      <c r="AQ323" t="n">
        <v>1017.47</v>
      </c>
    </row>
    <row r="324">
      <c r="AJ324" t="n">
        <v>1495.4</v>
      </c>
      <c r="AK324" t="n">
        <v>1436.64</v>
      </c>
      <c r="AM324" t="n">
        <v>1002.54</v>
      </c>
      <c r="AN324" t="n">
        <v>1084.1</v>
      </c>
      <c r="AP324" t="n">
        <v>1418.56</v>
      </c>
      <c r="AQ324" t="n">
        <v>1016.85</v>
      </c>
    </row>
    <row r="325">
      <c r="AJ325" t="n">
        <v>1496.76</v>
      </c>
      <c r="AK325" t="n">
        <v>1461.11</v>
      </c>
      <c r="AM325" t="n">
        <v>1003.81</v>
      </c>
      <c r="AN325" t="n">
        <v>1086.73</v>
      </c>
      <c r="AP325" t="n">
        <v>1420.47</v>
      </c>
      <c r="AQ325" t="n">
        <v>1013.64</v>
      </c>
    </row>
    <row r="326">
      <c r="AJ326" t="n">
        <v>1513.29</v>
      </c>
      <c r="AK326" t="n">
        <v>1470.91</v>
      </c>
      <c r="AM326" t="n">
        <v>1002.53</v>
      </c>
      <c r="AN326" t="n">
        <v>1086.23</v>
      </c>
      <c r="AP326" t="n">
        <v>1419.27</v>
      </c>
      <c r="AQ326" t="n">
        <v>1010.42</v>
      </c>
    </row>
    <row r="327">
      <c r="AJ327" t="n">
        <v>1494.25</v>
      </c>
      <c r="AK327" t="n">
        <v>1470.19</v>
      </c>
      <c r="AM327" t="n">
        <v>1002.19</v>
      </c>
      <c r="AN327" t="n">
        <v>1088.14</v>
      </c>
      <c r="AP327" t="n">
        <v>1415.6</v>
      </c>
      <c r="AQ327" t="n">
        <v>1007.59</v>
      </c>
    </row>
    <row r="328">
      <c r="AJ328" t="n">
        <v>1512.11</v>
      </c>
      <c r="AK328" t="n">
        <v>1476.58</v>
      </c>
      <c r="AM328" t="n">
        <v>1004.14</v>
      </c>
      <c r="AN328" t="n">
        <v>1090.14</v>
      </c>
      <c r="AP328" t="n">
        <v>1417.98</v>
      </c>
      <c r="AQ328" t="n">
        <v>1012.8</v>
      </c>
    </row>
    <row r="329">
      <c r="AJ329" t="n">
        <v>1519.24</v>
      </c>
      <c r="AK329" t="n">
        <v>1460.29</v>
      </c>
      <c r="AM329" t="n">
        <v>999.3</v>
      </c>
      <c r="AN329" t="n">
        <v>1091.17</v>
      </c>
      <c r="AP329" t="n">
        <v>1416.38</v>
      </c>
      <c r="AQ329" t="n">
        <v>1014.63</v>
      </c>
    </row>
    <row r="330">
      <c r="AJ330" t="n">
        <v>1531.75</v>
      </c>
      <c r="AK330" t="n">
        <v>1452.14</v>
      </c>
      <c r="AM330" t="n">
        <v>1000.51</v>
      </c>
      <c r="AN330" t="n">
        <v>1097.51</v>
      </c>
      <c r="AP330" t="n">
        <v>1413.68</v>
      </c>
      <c r="AQ330" t="n">
        <v>1006.44</v>
      </c>
    </row>
    <row r="331">
      <c r="AJ331" t="n">
        <v>1552.72</v>
      </c>
      <c r="AK331" t="n">
        <v>1449.04</v>
      </c>
      <c r="AM331" t="n">
        <v>995.11</v>
      </c>
      <c r="AN331" t="n">
        <v>1102.03</v>
      </c>
      <c r="AP331" t="n">
        <v>1411.4</v>
      </c>
      <c r="AQ331" t="n">
        <v>1005.46</v>
      </c>
    </row>
    <row r="332">
      <c r="AJ332" t="n">
        <v>1555.91</v>
      </c>
      <c r="AK332" t="n">
        <v>1454.66</v>
      </c>
      <c r="AM332" t="n">
        <v>996.67</v>
      </c>
      <c r="AN332" t="n">
        <v>1107.32</v>
      </c>
      <c r="AP332" t="n">
        <v>1413.05</v>
      </c>
      <c r="AQ332" t="n">
        <v>1009.74</v>
      </c>
    </row>
    <row r="333">
      <c r="AJ333" t="n">
        <v>1562.68</v>
      </c>
      <c r="AK333" t="n">
        <v>1446.34</v>
      </c>
      <c r="AM333" t="n">
        <v>984</v>
      </c>
      <c r="AN333" t="n">
        <v>1107.78</v>
      </c>
      <c r="AP333" t="n">
        <v>1408.18</v>
      </c>
      <c r="AQ333" t="n">
        <v>1007.24</v>
      </c>
    </row>
    <row r="334">
      <c r="AJ334" t="n">
        <v>1556.31</v>
      </c>
      <c r="AK334" t="n">
        <v>1459.57</v>
      </c>
      <c r="AM334" t="n">
        <v>976.73</v>
      </c>
      <c r="AN334" t="n">
        <v>1119.95</v>
      </c>
      <c r="AP334" t="n">
        <v>1404.52</v>
      </c>
      <c r="AQ334" t="n">
        <v>999.39</v>
      </c>
    </row>
    <row r="335">
      <c r="AJ335" t="n">
        <v>1564.24</v>
      </c>
      <c r="AK335" t="n">
        <v>1461.18</v>
      </c>
      <c r="AM335" t="n">
        <v>967.75</v>
      </c>
      <c r="AN335" t="n">
        <v>1119.59</v>
      </c>
      <c r="AP335" t="n">
        <v>1388.3</v>
      </c>
      <c r="AQ335" t="n">
        <v>1002.48</v>
      </c>
    </row>
    <row r="336">
      <c r="AJ336" t="n">
        <v>1567.92</v>
      </c>
      <c r="AK336" t="n">
        <v>1453.05</v>
      </c>
      <c r="AM336" t="n">
        <v>957.1900000000001</v>
      </c>
      <c r="AN336" t="n">
        <v>1122.74</v>
      </c>
      <c r="AP336" t="n">
        <v>1381.43</v>
      </c>
      <c r="AQ336" t="n">
        <v>999.78</v>
      </c>
    </row>
    <row r="337">
      <c r="AJ337" t="n">
        <v>1572.89</v>
      </c>
      <c r="AK337" t="n">
        <v>1456.27</v>
      </c>
      <c r="AM337" t="n">
        <v>955.62</v>
      </c>
      <c r="AN337" t="n">
        <v>1122.12</v>
      </c>
      <c r="AP337" t="n">
        <v>1373.72</v>
      </c>
      <c r="AQ337" t="n">
        <v>1004.68</v>
      </c>
    </row>
    <row r="338">
      <c r="AJ338" t="n">
        <v>1572.31</v>
      </c>
      <c r="AK338" t="n">
        <v>1428.46</v>
      </c>
      <c r="AM338" t="n">
        <v>957.53</v>
      </c>
      <c r="AN338" t="n">
        <v>1118.91</v>
      </c>
      <c r="AP338" t="n">
        <v>1370.81</v>
      </c>
      <c r="AQ338" t="n">
        <v>1003.65</v>
      </c>
    </row>
    <row r="339">
      <c r="AJ339" t="n">
        <v>1576.09</v>
      </c>
      <c r="AK339" t="n">
        <v>1452.68</v>
      </c>
      <c r="AM339" t="n">
        <v>956.33</v>
      </c>
      <c r="AN339" t="n">
        <v>1115.69</v>
      </c>
      <c r="AP339" t="n">
        <v>1369.9</v>
      </c>
      <c r="AQ339" t="n">
        <v>1006.46</v>
      </c>
    </row>
    <row r="340">
      <c r="AJ340" t="n">
        <v>1588.93</v>
      </c>
      <c r="AK340" t="n">
        <v>1461.84</v>
      </c>
      <c r="AM340" t="n">
        <v>952.66</v>
      </c>
      <c r="AN340" t="n">
        <v>1112.86</v>
      </c>
      <c r="AP340" t="n">
        <v>1364.16</v>
      </c>
      <c r="AQ340" t="n">
        <v>1009.51</v>
      </c>
    </row>
    <row r="341">
      <c r="AJ341" t="n">
        <v>1586.72</v>
      </c>
      <c r="AK341" t="n">
        <v>1468.35</v>
      </c>
      <c r="AM341" t="n">
        <v>955.04</v>
      </c>
      <c r="AN341" t="n">
        <v>1118.07</v>
      </c>
      <c r="AP341" t="n">
        <v>1355.91</v>
      </c>
      <c r="AQ341" t="n">
        <v>1008.13</v>
      </c>
    </row>
    <row r="342">
      <c r="AJ342" t="n">
        <v>1581.9</v>
      </c>
      <c r="AK342" t="n">
        <v>1465.3</v>
      </c>
      <c r="AM342" t="n">
        <v>953.4400000000001</v>
      </c>
      <c r="AN342" t="n">
        <v>1119.91</v>
      </c>
      <c r="AP342" t="n">
        <v>1345.54</v>
      </c>
      <c r="AQ342" t="n">
        <v>1012.35</v>
      </c>
    </row>
    <row r="343">
      <c r="AJ343" t="n">
        <v>1588.81</v>
      </c>
      <c r="AK343" t="n">
        <v>1476.28</v>
      </c>
      <c r="AM343" t="n">
        <v>950.74</v>
      </c>
      <c r="AN343" t="n">
        <v>1111.72</v>
      </c>
      <c r="AP343" t="n">
        <v>1343.14</v>
      </c>
      <c r="AQ343" t="n">
        <v>1022.59</v>
      </c>
    </row>
    <row r="344">
      <c r="AJ344" t="n">
        <v>1571.7</v>
      </c>
      <c r="AK344" t="n">
        <v>1489.73</v>
      </c>
      <c r="AM344" t="n">
        <v>948.46</v>
      </c>
      <c r="AN344" t="n">
        <v>1110.73</v>
      </c>
      <c r="AP344" t="n">
        <v>1339.89</v>
      </c>
      <c r="AQ344" t="n">
        <v>1023.62</v>
      </c>
    </row>
    <row r="345">
      <c r="AJ345" t="n">
        <v>1573.6</v>
      </c>
      <c r="AK345" t="n">
        <v>1507.19</v>
      </c>
      <c r="AM345" t="n">
        <v>950.11</v>
      </c>
      <c r="AN345" t="n">
        <v>1115.01</v>
      </c>
    </row>
    <row r="346">
      <c r="AJ346" t="n">
        <v>1583.49</v>
      </c>
      <c r="AK346" t="n">
        <v>1519.44</v>
      </c>
      <c r="AM346" t="n">
        <v>945.24</v>
      </c>
      <c r="AN346" t="n">
        <v>1112.51</v>
      </c>
      <c r="AP346" t="n">
        <v>1172.37</v>
      </c>
      <c r="AQ346" t="n">
        <v>1045.43</v>
      </c>
    </row>
    <row r="347">
      <c r="AJ347" t="n">
        <v>1600.38</v>
      </c>
      <c r="AK347" t="n">
        <v>1488.06</v>
      </c>
      <c r="AM347" t="n">
        <v>944.17</v>
      </c>
      <c r="AN347" t="n">
        <v>1107.39</v>
      </c>
      <c r="AP347" t="n">
        <v>1225.52</v>
      </c>
      <c r="AQ347" t="n">
        <v>1226.8</v>
      </c>
    </row>
    <row r="348">
      <c r="AJ348" t="n">
        <v>1592.62</v>
      </c>
      <c r="AK348" t="n">
        <v>1479.43</v>
      </c>
      <c r="AM348" t="n">
        <v>941.58</v>
      </c>
      <c r="AN348" t="n">
        <v>1104.66</v>
      </c>
      <c r="AP348" t="n">
        <v>1291.67</v>
      </c>
      <c r="AQ348" t="n">
        <v>1211.86</v>
      </c>
    </row>
    <row r="349">
      <c r="AJ349" t="n">
        <v>1607.1</v>
      </c>
      <c r="AK349" t="n">
        <v>1476.42</v>
      </c>
      <c r="AM349" t="n">
        <v>927.49</v>
      </c>
      <c r="AN349" t="n">
        <v>1106.03</v>
      </c>
      <c r="AP349" t="n">
        <v>1280.38</v>
      </c>
      <c r="AQ349" t="n">
        <v>1141.61</v>
      </c>
    </row>
    <row r="350">
      <c r="AJ350" t="n">
        <v>1602.43</v>
      </c>
      <c r="AK350" t="n">
        <v>1472.94</v>
      </c>
      <c r="AM350" t="n">
        <v>925.36</v>
      </c>
      <c r="AN350" t="n">
        <v>1107.75</v>
      </c>
      <c r="AP350" t="n">
        <v>1268.81</v>
      </c>
      <c r="AQ350" t="n">
        <v>1024.14</v>
      </c>
    </row>
    <row r="351">
      <c r="AJ351" t="n">
        <v>1609.14</v>
      </c>
      <c r="AK351" t="n">
        <v>1455.58</v>
      </c>
      <c r="AM351" t="n">
        <v>918.49</v>
      </c>
      <c r="AN351" t="n">
        <v>1105.05</v>
      </c>
      <c r="AP351" t="n">
        <v>1220.85</v>
      </c>
      <c r="AQ351" t="n">
        <v>1033.02</v>
      </c>
    </row>
    <row r="352">
      <c r="AJ352" t="n">
        <v>1614.22</v>
      </c>
      <c r="AK352" t="n">
        <v>1472.9</v>
      </c>
      <c r="AM352" t="n">
        <v>910.78</v>
      </c>
      <c r="AN352" t="n">
        <v>1109.95</v>
      </c>
      <c r="AP352" t="n">
        <v>1172.37</v>
      </c>
      <c r="AQ352" t="n">
        <v>1045.43</v>
      </c>
    </row>
    <row r="353">
      <c r="AJ353" t="n">
        <v>1620.92</v>
      </c>
      <c r="AK353" t="n">
        <v>1467.45</v>
      </c>
      <c r="AM353" t="n">
        <v>907.87</v>
      </c>
      <c r="AN353" t="n">
        <v>1108.92</v>
      </c>
    </row>
    <row r="354">
      <c r="AJ354" t="n">
        <v>1628.33</v>
      </c>
      <c r="AK354" t="n">
        <v>1438.18</v>
      </c>
      <c r="AM354" t="n">
        <v>906.96</v>
      </c>
      <c r="AN354" t="n">
        <v>1111.73</v>
      </c>
    </row>
    <row r="355">
      <c r="AJ355" t="n">
        <v>1641.59</v>
      </c>
      <c r="AK355" t="n">
        <v>1466.63</v>
      </c>
      <c r="AM355" t="n">
        <v>901.21</v>
      </c>
      <c r="AN355" t="n">
        <v>1114.78</v>
      </c>
    </row>
    <row r="356">
      <c r="AJ356" t="n">
        <v>1635.74</v>
      </c>
      <c r="AK356" t="n">
        <v>1484.29</v>
      </c>
      <c r="AM356" t="n">
        <v>892.96</v>
      </c>
      <c r="AN356" t="n">
        <v>1113.4</v>
      </c>
    </row>
    <row r="357">
      <c r="AJ357" t="n">
        <v>1653.1</v>
      </c>
      <c r="AK357" t="n">
        <v>1483.86</v>
      </c>
      <c r="AM357" t="n">
        <v>882.6</v>
      </c>
      <c r="AN357" t="n">
        <v>1117.62</v>
      </c>
    </row>
    <row r="358">
      <c r="AJ358" t="n">
        <v>1661.72</v>
      </c>
      <c r="AK358" t="n">
        <v>1476.61</v>
      </c>
      <c r="AM358" t="n">
        <v>880.2</v>
      </c>
      <c r="AN358" t="n">
        <v>1127.86</v>
      </c>
    </row>
    <row r="359">
      <c r="AJ359" t="n">
        <v>1663.75</v>
      </c>
      <c r="AK359" t="n">
        <v>1467.82</v>
      </c>
      <c r="AM359" t="n">
        <v>876.95</v>
      </c>
      <c r="AN359" t="n">
        <v>1128.9</v>
      </c>
    </row>
    <row r="360">
      <c r="AJ360" t="n">
        <v>1656.52</v>
      </c>
      <c r="AK360" t="n">
        <v>1463.08</v>
      </c>
    </row>
    <row r="361">
      <c r="AJ361" t="n">
        <v>1666.98</v>
      </c>
      <c r="AK361" t="n">
        <v>1441.03</v>
      </c>
      <c r="AM361" t="n">
        <v>1048.23</v>
      </c>
      <c r="AN361" t="n">
        <v>1168.6</v>
      </c>
    </row>
    <row r="362">
      <c r="AJ362" t="n">
        <v>1655.89</v>
      </c>
      <c r="AK362" t="n">
        <v>1427.39</v>
      </c>
      <c r="AM362" t="n">
        <v>1045.15</v>
      </c>
      <c r="AN362" t="n">
        <v>1171.88</v>
      </c>
    </row>
    <row r="363">
      <c r="AJ363" t="n">
        <v>1643.46</v>
      </c>
      <c r="AK363" t="n">
        <v>1435.11</v>
      </c>
      <c r="AM363" t="n">
        <v>1046.29</v>
      </c>
      <c r="AN363" t="n">
        <v>1178.45</v>
      </c>
    </row>
    <row r="364">
      <c r="AJ364" t="n">
        <v>1653.13</v>
      </c>
      <c r="AK364" t="n">
        <v>1424.3</v>
      </c>
      <c r="AM364" t="n">
        <v>1048.23</v>
      </c>
      <c r="AN364" t="n">
        <v>1168.6</v>
      </c>
    </row>
    <row r="365">
      <c r="AJ365" t="n">
        <v>1633.67</v>
      </c>
      <c r="AK365" t="n">
        <v>1427.72</v>
      </c>
    </row>
    <row r="366">
      <c r="AJ366" t="n">
        <v>1639.09</v>
      </c>
      <c r="AK366" t="n">
        <v>1421.23</v>
      </c>
      <c r="AM366" t="n">
        <v>1023.59</v>
      </c>
      <c r="AN366" t="n">
        <v>1073.62</v>
      </c>
    </row>
    <row r="367">
      <c r="AJ367" t="n">
        <v>1629.83</v>
      </c>
      <c r="AK367" t="n">
        <v>1407.23</v>
      </c>
      <c r="AM367" t="n">
        <v>1020.39</v>
      </c>
      <c r="AN367" t="n">
        <v>1074.25</v>
      </c>
    </row>
    <row r="368">
      <c r="AJ368" t="n">
        <v>1601.75</v>
      </c>
      <c r="AK368" t="n">
        <v>1416.65</v>
      </c>
      <c r="AM368" t="n">
        <v>1020.71</v>
      </c>
      <c r="AN368" t="n">
        <v>1075.54</v>
      </c>
    </row>
    <row r="369">
      <c r="AJ369" t="n">
        <v>1633.13</v>
      </c>
      <c r="AK369" t="n">
        <v>1402.89</v>
      </c>
      <c r="AM369" t="n">
        <v>1024.8</v>
      </c>
      <c r="AN369" t="n">
        <v>1076.47</v>
      </c>
    </row>
    <row r="370">
      <c r="AJ370" t="n">
        <v>1626.33</v>
      </c>
      <c r="AK370" t="n">
        <v>1387.34</v>
      </c>
      <c r="AM370" t="n">
        <v>1029.06</v>
      </c>
      <c r="AN370" t="n">
        <v>1073.69</v>
      </c>
    </row>
    <row r="371">
      <c r="AJ371" t="n">
        <v>1611.85</v>
      </c>
      <c r="AK371" t="n">
        <v>1385.86</v>
      </c>
      <c r="AM371" t="n">
        <v>1028.7</v>
      </c>
      <c r="AN371" t="n">
        <v>1076.14</v>
      </c>
    </row>
    <row r="372">
      <c r="AJ372" t="n">
        <v>1609.99</v>
      </c>
      <c r="AK372" t="n">
        <v>1377.18</v>
      </c>
      <c r="AM372" t="n">
        <v>1031.02</v>
      </c>
      <c r="AN372" t="n">
        <v>1077.2</v>
      </c>
    </row>
    <row r="373">
      <c r="AJ373" t="n">
        <v>1585.14</v>
      </c>
      <c r="AK373" t="n">
        <v>1386.21</v>
      </c>
      <c r="AM373" t="n">
        <v>1033.63</v>
      </c>
      <c r="AN373" t="n">
        <v>1075.63</v>
      </c>
    </row>
    <row r="374">
      <c r="AJ374" t="n">
        <v>1607.61</v>
      </c>
      <c r="AK374" t="n">
        <v>1367.82</v>
      </c>
      <c r="AM374" t="n">
        <v>1035.76</v>
      </c>
      <c r="AN374" t="n">
        <v>1077.93</v>
      </c>
    </row>
    <row r="375">
      <c r="AJ375" t="n">
        <v>1594.85</v>
      </c>
      <c r="AK375" t="n">
        <v>1363.52</v>
      </c>
      <c r="AM375" t="n">
        <v>1038.13</v>
      </c>
      <c r="AN375" t="n">
        <v>1074.01</v>
      </c>
    </row>
    <row r="376">
      <c r="AJ376" t="n">
        <v>1593.5</v>
      </c>
      <c r="AK376" t="n">
        <v>1352.53</v>
      </c>
      <c r="AM376" t="n">
        <v>1038.89</v>
      </c>
      <c r="AN376" t="n">
        <v>1077</v>
      </c>
    </row>
    <row r="377">
      <c r="AJ377" t="n">
        <v>1588.2</v>
      </c>
      <c r="AK377" t="n">
        <v>1355.83</v>
      </c>
      <c r="AM377" t="n">
        <v>1040.54</v>
      </c>
      <c r="AN377" t="n">
        <v>1075.3</v>
      </c>
    </row>
    <row r="378">
      <c r="AJ378" t="n">
        <v>1574.05</v>
      </c>
      <c r="AK378" t="n">
        <v>1316.3</v>
      </c>
      <c r="AM378" t="n">
        <v>1037.58</v>
      </c>
      <c r="AN378" t="n">
        <v>1070.34</v>
      </c>
    </row>
    <row r="379">
      <c r="AM379" t="n">
        <v>1036.4</v>
      </c>
      <c r="AN379" t="n">
        <v>1070.69</v>
      </c>
    </row>
    <row r="380">
      <c r="AJ380" t="n">
        <v>1517.9</v>
      </c>
      <c r="AK380" t="n">
        <v>1579.81</v>
      </c>
      <c r="AM380" t="n">
        <v>1038.73</v>
      </c>
      <c r="AN380" t="n">
        <v>1073.39</v>
      </c>
    </row>
    <row r="381">
      <c r="AJ381" t="n">
        <v>1532.02</v>
      </c>
      <c r="AK381" t="n">
        <v>1611.33</v>
      </c>
      <c r="AM381" t="n">
        <v>1035.44</v>
      </c>
      <c r="AN381" t="n">
        <v>1070.36</v>
      </c>
    </row>
    <row r="382">
      <c r="AJ382" t="n">
        <v>1530.68</v>
      </c>
      <c r="AK382" t="n">
        <v>1593.33</v>
      </c>
      <c r="AM382" t="n">
        <v>1023.59</v>
      </c>
      <c r="AN382" t="n">
        <v>1073.62</v>
      </c>
    </row>
    <row r="383">
      <c r="AJ383" t="n">
        <v>1541.17</v>
      </c>
      <c r="AK383" t="n">
        <v>1593.31</v>
      </c>
    </row>
    <row r="384">
      <c r="AJ384" t="n">
        <v>1537.31</v>
      </c>
      <c r="AK384" t="n">
        <v>1580.86</v>
      </c>
      <c r="AM384" t="n">
        <v>1012.39</v>
      </c>
      <c r="AN384" t="n">
        <v>1077.65</v>
      </c>
    </row>
    <row r="385">
      <c r="AJ385" t="n">
        <v>1517.9</v>
      </c>
      <c r="AK385" t="n">
        <v>1579.81</v>
      </c>
      <c r="AM385" t="n">
        <v>1010.66</v>
      </c>
      <c r="AN385" t="n">
        <v>1076.72</v>
      </c>
    </row>
    <row r="386">
      <c r="AM386" t="n">
        <v>1008.81</v>
      </c>
      <c r="AN386" t="n">
        <v>1079.69</v>
      </c>
    </row>
    <row r="387">
      <c r="AJ387" t="n">
        <v>1454.73</v>
      </c>
      <c r="AK387" t="n">
        <v>1507.85</v>
      </c>
      <c r="AM387" t="n">
        <v>1012.29</v>
      </c>
      <c r="AN387" t="n">
        <v>1079.41</v>
      </c>
    </row>
    <row r="388">
      <c r="AJ388" t="n">
        <v>1455.88</v>
      </c>
      <c r="AK388" t="n">
        <v>1513.81</v>
      </c>
      <c r="AM388" t="n">
        <v>1012.39</v>
      </c>
      <c r="AN388" t="n">
        <v>1077.65</v>
      </c>
    </row>
    <row r="389">
      <c r="AJ389" t="n">
        <v>1494.58</v>
      </c>
      <c r="AK389" t="n">
        <v>1500.1</v>
      </c>
    </row>
    <row r="390">
      <c r="AJ390" t="n">
        <v>1508.89</v>
      </c>
      <c r="AK390" t="n">
        <v>1548.92</v>
      </c>
      <c r="AM390" t="n">
        <v>1244.2</v>
      </c>
      <c r="AN390" t="n">
        <v>1151.05</v>
      </c>
    </row>
    <row r="391">
      <c r="AJ391" t="n">
        <v>1512.29</v>
      </c>
      <c r="AK391" t="n">
        <v>1525.25</v>
      </c>
      <c r="AM391" t="n">
        <v>1244.84</v>
      </c>
      <c r="AN391" t="n">
        <v>1153.11</v>
      </c>
    </row>
    <row r="392">
      <c r="AJ392" t="n">
        <v>1517.04</v>
      </c>
      <c r="AK392" t="n">
        <v>1526.34</v>
      </c>
      <c r="AM392" t="n">
        <v>1252.04</v>
      </c>
      <c r="AN392" t="n">
        <v>1153.82</v>
      </c>
    </row>
    <row r="393">
      <c r="AJ393" t="n">
        <v>1520.06</v>
      </c>
      <c r="AK393" t="n">
        <v>1552.42</v>
      </c>
      <c r="AM393" t="n">
        <v>1262.06</v>
      </c>
      <c r="AN393" t="n">
        <v>1160.15</v>
      </c>
    </row>
    <row r="394">
      <c r="AJ394" t="n">
        <v>1530</v>
      </c>
      <c r="AK394" t="n">
        <v>1542.64</v>
      </c>
      <c r="AM394" t="n">
        <v>1264.03</v>
      </c>
      <c r="AN394" t="n">
        <v>1159.77</v>
      </c>
    </row>
    <row r="395">
      <c r="AJ395" t="n">
        <v>1531.23</v>
      </c>
      <c r="AK395" t="n">
        <v>1504.53</v>
      </c>
      <c r="AM395" t="n">
        <v>1260.43</v>
      </c>
      <c r="AN395" t="n">
        <v>1153.61</v>
      </c>
    </row>
    <row r="396">
      <c r="AJ396" t="n">
        <v>1545.77</v>
      </c>
      <c r="AK396" t="n">
        <v>1485.7</v>
      </c>
      <c r="AM396" t="n">
        <v>1262.16</v>
      </c>
      <c r="AN396" t="n">
        <v>1150.13</v>
      </c>
    </row>
    <row r="397">
      <c r="AJ397" t="n">
        <v>1530.51</v>
      </c>
      <c r="AK397" t="n">
        <v>1485.44</v>
      </c>
      <c r="AM397" t="n">
        <v>1255.95</v>
      </c>
      <c r="AN397" t="n">
        <v>1148.85</v>
      </c>
    </row>
    <row r="398">
      <c r="AJ398" t="n">
        <v>1531.17</v>
      </c>
      <c r="AK398" t="n">
        <v>1477.72</v>
      </c>
      <c r="AM398" t="n">
        <v>1256.92</v>
      </c>
      <c r="AN398" t="n">
        <v>1150.5</v>
      </c>
    </row>
    <row r="399">
      <c r="AJ399" t="n">
        <v>1537.7</v>
      </c>
      <c r="AK399" t="n">
        <v>1481.43</v>
      </c>
      <c r="AM399" t="n">
        <v>1254.38</v>
      </c>
      <c r="AN399" t="n">
        <v>1151.23</v>
      </c>
    </row>
    <row r="400">
      <c r="AJ400" t="n">
        <v>1539</v>
      </c>
      <c r="AK400" t="n">
        <v>1475.89</v>
      </c>
      <c r="AM400" t="n">
        <v>1254.53</v>
      </c>
      <c r="AN400" t="n">
        <v>1152.88</v>
      </c>
    </row>
    <row r="401">
      <c r="AJ401" t="n">
        <v>1531.39</v>
      </c>
      <c r="AK401" t="n">
        <v>1470.96</v>
      </c>
      <c r="AM401" t="n">
        <v>1252.8</v>
      </c>
      <c r="AN401" t="n">
        <v>1148.89</v>
      </c>
    </row>
    <row r="402">
      <c r="AJ402" t="n">
        <v>1518.37</v>
      </c>
      <c r="AK402" t="n">
        <v>1475.2</v>
      </c>
      <c r="AM402" t="n">
        <v>1247.78</v>
      </c>
      <c r="AN402" t="n">
        <v>1148.05</v>
      </c>
    </row>
    <row r="403">
      <c r="AJ403" t="n">
        <v>1511.17</v>
      </c>
      <c r="AK403" t="n">
        <v>1485.86</v>
      </c>
      <c r="AM403" t="n">
        <v>1245.39</v>
      </c>
      <c r="AN403" t="n">
        <v>1150.24</v>
      </c>
    </row>
    <row r="404">
      <c r="AJ404" t="n">
        <v>1493.38</v>
      </c>
      <c r="AK404" t="n">
        <v>1477.82</v>
      </c>
      <c r="AM404" t="n">
        <v>1241.39</v>
      </c>
      <c r="AN404" t="n">
        <v>1148.75</v>
      </c>
    </row>
    <row r="405">
      <c r="AJ405" t="n">
        <v>1470.3</v>
      </c>
      <c r="AK405" t="n">
        <v>1480.55</v>
      </c>
      <c r="AM405" t="n">
        <v>1239.72</v>
      </c>
      <c r="AN405" t="n">
        <v>1151.48</v>
      </c>
    </row>
    <row r="406">
      <c r="AJ406" t="n">
        <v>1469.59</v>
      </c>
      <c r="AK406" t="n">
        <v>1493.93</v>
      </c>
      <c r="AM406" t="n">
        <v>1236.56</v>
      </c>
      <c r="AN406" t="n">
        <v>1150.79</v>
      </c>
    </row>
    <row r="407">
      <c r="AJ407" t="n">
        <v>1454.73</v>
      </c>
      <c r="AK407" t="n">
        <v>1507.85</v>
      </c>
      <c r="AM407" t="n">
        <v>1237.71</v>
      </c>
      <c r="AN407" t="n">
        <v>1159.48</v>
      </c>
    </row>
    <row r="408">
      <c r="AM408" t="n">
        <v>1238.89</v>
      </c>
      <c r="AN408" t="n">
        <v>1154.39</v>
      </c>
    </row>
    <row r="409">
      <c r="AJ409" t="n">
        <v>1709.32</v>
      </c>
      <c r="AK409" t="n">
        <v>1462.94</v>
      </c>
      <c r="AM409" t="n">
        <v>1244.2</v>
      </c>
      <c r="AN409" t="n">
        <v>1151.05</v>
      </c>
    </row>
    <row r="410">
      <c r="AJ410" t="n">
        <v>1706.08</v>
      </c>
      <c r="AK410" t="n">
        <v>1466.97</v>
      </c>
    </row>
    <row r="411">
      <c r="AJ411" t="n">
        <v>1713.91</v>
      </c>
      <c r="AK411" t="n">
        <v>1467.98</v>
      </c>
      <c r="AM411" t="n">
        <v>1201.52</v>
      </c>
      <c r="AN411" t="n">
        <v>1161.88</v>
      </c>
    </row>
    <row r="412">
      <c r="AJ412" t="n">
        <v>1709.32</v>
      </c>
      <c r="AK412" t="n">
        <v>1462.94</v>
      </c>
      <c r="AM412" t="n">
        <v>1195.59</v>
      </c>
      <c r="AN412" t="n">
        <v>1156.22</v>
      </c>
    </row>
    <row r="413">
      <c r="AM413" t="n">
        <v>1191.89</v>
      </c>
      <c r="AN413" t="n">
        <v>1157.56</v>
      </c>
    </row>
    <row r="414">
      <c r="AJ414" t="n">
        <v>1647.76</v>
      </c>
      <c r="AK414" t="n">
        <v>1407.48</v>
      </c>
      <c r="AM414" t="n">
        <v>1186.44</v>
      </c>
      <c r="AN414" t="n">
        <v>1155.4</v>
      </c>
    </row>
    <row r="415">
      <c r="AJ415" t="n">
        <v>1650.33</v>
      </c>
      <c r="AK415" t="n">
        <v>1411.17</v>
      </c>
      <c r="AM415" t="n">
        <v>1186.88</v>
      </c>
      <c r="AN415" t="n">
        <v>1154.26</v>
      </c>
    </row>
    <row r="416">
      <c r="AJ416" t="n">
        <v>1669.52</v>
      </c>
      <c r="AK416" t="n">
        <v>1399.78</v>
      </c>
      <c r="AM416" t="n">
        <v>1183.93</v>
      </c>
      <c r="AN416" t="n">
        <v>1153.11</v>
      </c>
    </row>
    <row r="417">
      <c r="AJ417" t="n">
        <v>1672.31</v>
      </c>
      <c r="AK417" t="n">
        <v>1389.6</v>
      </c>
      <c r="AM417" t="n">
        <v>1185.56</v>
      </c>
      <c r="AN417" t="n">
        <v>1145.28</v>
      </c>
    </row>
    <row r="418">
      <c r="AJ418" t="n">
        <v>1684.64</v>
      </c>
      <c r="AK418" t="n">
        <v>1387.25</v>
      </c>
      <c r="AM418" t="n">
        <v>1180.34</v>
      </c>
      <c r="AN418" t="n">
        <v>1139.91</v>
      </c>
    </row>
    <row r="419">
      <c r="AJ419" t="n">
        <v>1680.05</v>
      </c>
      <c r="AK419" t="n">
        <v>1381.27</v>
      </c>
      <c r="AM419" t="n">
        <v>1179.65</v>
      </c>
      <c r="AN419" t="n">
        <v>1142.09</v>
      </c>
    </row>
    <row r="420">
      <c r="AJ420" t="n">
        <v>1661.67</v>
      </c>
      <c r="AK420" t="n">
        <v>1390.26</v>
      </c>
      <c r="AM420" t="n">
        <v>1177.24</v>
      </c>
      <c r="AN420" t="n">
        <v>1141.76</v>
      </c>
    </row>
    <row r="421">
      <c r="AJ421" t="n">
        <v>1648.06</v>
      </c>
      <c r="AK421" t="n">
        <v>1371.1</v>
      </c>
      <c r="AM421" t="n">
        <v>1173.32</v>
      </c>
      <c r="AN421" t="n">
        <v>1126.29</v>
      </c>
    </row>
    <row r="422">
      <c r="AJ422" t="n">
        <v>1644.14</v>
      </c>
      <c r="AK422" t="n">
        <v>1380.74</v>
      </c>
      <c r="AM422" t="n">
        <v>1174.66</v>
      </c>
      <c r="AN422" t="n">
        <v>1111.59</v>
      </c>
    </row>
    <row r="423">
      <c r="AJ423" t="n">
        <v>1633.91</v>
      </c>
      <c r="AK423" t="n">
        <v>1377.84</v>
      </c>
      <c r="AM423" t="n">
        <v>1171.92</v>
      </c>
      <c r="AN423" t="n">
        <v>1104.07</v>
      </c>
    </row>
    <row r="424">
      <c r="AJ424" t="n">
        <v>1640.06</v>
      </c>
      <c r="AK424" t="n">
        <v>1387.67</v>
      </c>
      <c r="AM424" t="n">
        <v>1172.85</v>
      </c>
      <c r="AN424" t="n">
        <v>1102.14</v>
      </c>
    </row>
    <row r="425">
      <c r="AJ425" t="n">
        <v>1640.58</v>
      </c>
      <c r="AK425" t="n">
        <v>1416.44</v>
      </c>
      <c r="AM425" t="n">
        <v>1171.36</v>
      </c>
      <c r="AN425" t="n">
        <v>1098.44</v>
      </c>
    </row>
    <row r="426">
      <c r="AJ426" t="n">
        <v>1647.76</v>
      </c>
      <c r="AK426" t="n">
        <v>1407.48</v>
      </c>
      <c r="AM426" t="n">
        <v>1170.19</v>
      </c>
      <c r="AN426" t="n">
        <v>1099.54</v>
      </c>
    </row>
    <row r="427">
      <c r="AM427" t="n">
        <v>1166.1</v>
      </c>
      <c r="AN427" t="n">
        <v>1097.23</v>
      </c>
    </row>
    <row r="428">
      <c r="AJ428" t="n">
        <v>1704.38</v>
      </c>
      <c r="AK428" t="n">
        <v>1385.41</v>
      </c>
      <c r="AM428" t="n">
        <v>1165.47</v>
      </c>
      <c r="AN428" t="n">
        <v>1091.59</v>
      </c>
    </row>
    <row r="429">
      <c r="AJ429" t="n">
        <v>1704.41</v>
      </c>
      <c r="AK429" t="n">
        <v>1380.04</v>
      </c>
      <c r="AM429" t="n">
        <v>1127.27</v>
      </c>
      <c r="AN429" t="n">
        <v>1079.99</v>
      </c>
    </row>
    <row r="430">
      <c r="AJ430" t="n">
        <v>1698.83</v>
      </c>
      <c r="AK430" t="n">
        <v>1384.19</v>
      </c>
      <c r="AM430" t="n">
        <v>1139.31</v>
      </c>
      <c r="AN430" t="n">
        <v>1091.93</v>
      </c>
    </row>
    <row r="431">
      <c r="AJ431" t="n">
        <v>1704.38</v>
      </c>
      <c r="AK431" t="n">
        <v>1385.41</v>
      </c>
      <c r="AM431" t="n">
        <v>1140.66</v>
      </c>
      <c r="AN431" t="n">
        <v>1102.49</v>
      </c>
    </row>
    <row r="432">
      <c r="AM432" t="n">
        <v>1150.05</v>
      </c>
      <c r="AN432" t="n">
        <v>1115.41</v>
      </c>
    </row>
    <row r="433">
      <c r="AJ433" t="n">
        <v>1674.16</v>
      </c>
      <c r="AK433" t="n">
        <v>1366.43</v>
      </c>
      <c r="AM433" t="n">
        <v>1165.49</v>
      </c>
      <c r="AN433" t="n">
        <v>1129.68</v>
      </c>
    </row>
    <row r="434">
      <c r="AJ434" t="n">
        <v>1662.96</v>
      </c>
      <c r="AK434" t="n">
        <v>1356.63</v>
      </c>
      <c r="AM434" t="n">
        <v>1175.08</v>
      </c>
      <c r="AN434" t="n">
        <v>1156.3</v>
      </c>
    </row>
    <row r="435">
      <c r="AJ435" t="n">
        <v>1663.95</v>
      </c>
      <c r="AK435" t="n">
        <v>1369.4</v>
      </c>
      <c r="AM435" t="n">
        <v>1186.88</v>
      </c>
      <c r="AN435" t="n">
        <v>1171.58</v>
      </c>
    </row>
    <row r="436">
      <c r="AJ436" t="n">
        <v>1673.87</v>
      </c>
      <c r="AK436" t="n">
        <v>1371.86</v>
      </c>
      <c r="AM436" t="n">
        <v>1195.2</v>
      </c>
      <c r="AN436" t="n">
        <v>1180.28</v>
      </c>
    </row>
    <row r="437">
      <c r="AJ437" t="n">
        <v>1674.16</v>
      </c>
      <c r="AK437" t="n">
        <v>1366.43</v>
      </c>
      <c r="AM437" t="n">
        <v>1205.61</v>
      </c>
      <c r="AN437" t="n">
        <v>1187.22</v>
      </c>
    </row>
    <row r="438">
      <c r="AM438" t="n">
        <v>1213.29</v>
      </c>
      <c r="AN438" t="n">
        <v>1189.3</v>
      </c>
    </row>
    <row r="439">
      <c r="AJ439" t="n">
        <v>1694.63</v>
      </c>
      <c r="AK439" t="n">
        <v>1365.89</v>
      </c>
      <c r="AM439" t="n">
        <v>1222.06</v>
      </c>
      <c r="AN439" t="n">
        <v>1187.18</v>
      </c>
    </row>
    <row r="440">
      <c r="AJ440" t="n">
        <v>1695.13</v>
      </c>
      <c r="AK440" t="n">
        <v>1352.01</v>
      </c>
      <c r="AM440" t="n">
        <v>1222.58</v>
      </c>
      <c r="AN440" t="n">
        <v>1186.08</v>
      </c>
    </row>
    <row r="441">
      <c r="AJ441" t="n">
        <v>1690</v>
      </c>
      <c r="AK441" t="n">
        <v>1359.84</v>
      </c>
      <c r="AM441" t="n">
        <v>1219.15</v>
      </c>
      <c r="AN441" t="n">
        <v>1185.26</v>
      </c>
    </row>
    <row r="442">
      <c r="AJ442" t="n">
        <v>1694.63</v>
      </c>
      <c r="AK442" t="n">
        <v>1365.89</v>
      </c>
      <c r="AM442" t="n">
        <v>1223.07</v>
      </c>
      <c r="AN442" t="n">
        <v>1184.19</v>
      </c>
    </row>
    <row r="443">
      <c r="AM443" t="n">
        <v>1223.9</v>
      </c>
      <c r="AN443" t="n">
        <v>1179.37</v>
      </c>
    </row>
    <row r="444">
      <c r="AJ444" t="n">
        <v>1809.77</v>
      </c>
      <c r="AK444" t="n">
        <v>1389.66</v>
      </c>
      <c r="AM444" t="n">
        <v>1217.02</v>
      </c>
      <c r="AN444" t="n">
        <v>1168.56</v>
      </c>
    </row>
    <row r="445">
      <c r="AJ445" t="n">
        <v>1811.49</v>
      </c>
      <c r="AK445" t="n">
        <v>1384.49</v>
      </c>
      <c r="AM445" t="n">
        <v>1208.75</v>
      </c>
      <c r="AN445" t="n">
        <v>1168.19</v>
      </c>
    </row>
    <row r="446">
      <c r="AJ446" t="n">
        <v>1805.21</v>
      </c>
      <c r="AK446" t="n">
        <v>1387.25</v>
      </c>
      <c r="AM446" t="n">
        <v>1201.52</v>
      </c>
      <c r="AN446" t="n">
        <v>1161.88</v>
      </c>
    </row>
    <row r="447">
      <c r="AJ447" t="n">
        <v>1809.77</v>
      </c>
      <c r="AK447" t="n">
        <v>1389.66</v>
      </c>
    </row>
    <row r="448">
      <c r="AM448" t="n">
        <v>1136.23</v>
      </c>
      <c r="AN448" t="n">
        <v>1363.82</v>
      </c>
    </row>
    <row r="449">
      <c r="AJ449" t="n">
        <v>1720.46</v>
      </c>
      <c r="AK449" t="n">
        <v>1264.7</v>
      </c>
      <c r="AM449" t="n">
        <v>1134.89</v>
      </c>
      <c r="AN449" t="n">
        <v>1362.1</v>
      </c>
    </row>
    <row r="450">
      <c r="AJ450" t="n">
        <v>1719.55</v>
      </c>
      <c r="AK450" t="n">
        <v>1257.72</v>
      </c>
      <c r="AM450" t="n">
        <v>1137.43</v>
      </c>
      <c r="AN450" t="n">
        <v>1361.2</v>
      </c>
    </row>
    <row r="451">
      <c r="AJ451" t="n">
        <v>1718.21</v>
      </c>
      <c r="AK451" t="n">
        <v>1263.37</v>
      </c>
      <c r="AM451" t="n">
        <v>1136.12</v>
      </c>
      <c r="AN451" t="n">
        <v>1358.56</v>
      </c>
    </row>
    <row r="452">
      <c r="AJ452" t="n">
        <v>1711.71</v>
      </c>
      <c r="AK452" t="n">
        <v>1256.36</v>
      </c>
      <c r="AM452" t="n">
        <v>1138.67</v>
      </c>
      <c r="AN452" t="n">
        <v>1357.66</v>
      </c>
    </row>
    <row r="453">
      <c r="AJ453" t="n">
        <v>1714.64</v>
      </c>
      <c r="AK453" t="n">
        <v>1268.23</v>
      </c>
      <c r="AM453" t="n">
        <v>1140.09</v>
      </c>
      <c r="AN453" t="n">
        <v>1351.23</v>
      </c>
    </row>
    <row r="454">
      <c r="AJ454" t="n">
        <v>1714.99</v>
      </c>
      <c r="AK454" t="n">
        <v>1262.04</v>
      </c>
      <c r="AM454" t="n">
        <v>1141.51</v>
      </c>
      <c r="AN454" t="n">
        <v>1350.38</v>
      </c>
    </row>
    <row r="455">
      <c r="AJ455" t="n">
        <v>1716.19</v>
      </c>
      <c r="AK455" t="n">
        <v>1269.58</v>
      </c>
      <c r="AM455" t="n">
        <v>1143.67</v>
      </c>
      <c r="AN455" t="n">
        <v>1352.3</v>
      </c>
    </row>
    <row r="456">
      <c r="AJ456" t="n">
        <v>1720.46</v>
      </c>
      <c r="AK456" t="n">
        <v>1264.7</v>
      </c>
      <c r="AM456" t="n">
        <v>1144.63</v>
      </c>
      <c r="AN456" t="n">
        <v>1347.51</v>
      </c>
    </row>
    <row r="457">
      <c r="AM457" t="n">
        <v>1147.71</v>
      </c>
      <c r="AN457" t="n">
        <v>1345</v>
      </c>
    </row>
    <row r="458">
      <c r="AJ458" t="n">
        <v>1714.11</v>
      </c>
      <c r="AK458" t="n">
        <v>1202.05</v>
      </c>
      <c r="AM458" t="n">
        <v>1143.92</v>
      </c>
      <c r="AN458" t="n">
        <v>1343.83</v>
      </c>
    </row>
    <row r="459">
      <c r="AJ459" t="n">
        <v>1700.09</v>
      </c>
      <c r="AK459" t="n">
        <v>1205.3</v>
      </c>
      <c r="AM459" t="n">
        <v>1143.98</v>
      </c>
      <c r="AN459" t="n">
        <v>1341.99</v>
      </c>
    </row>
    <row r="460">
      <c r="AJ460" t="n">
        <v>1708.77</v>
      </c>
      <c r="AK460" t="n">
        <v>1209.16</v>
      </c>
      <c r="AM460" t="n">
        <v>1150.53</v>
      </c>
      <c r="AN460" t="n">
        <v>1341.63</v>
      </c>
    </row>
    <row r="461">
      <c r="AJ461" t="n">
        <v>1714.11</v>
      </c>
      <c r="AK461" t="n">
        <v>1202.05</v>
      </c>
      <c r="AM461" t="n">
        <v>1153.54</v>
      </c>
      <c r="AN461" t="n">
        <v>1344.73</v>
      </c>
    </row>
    <row r="462">
      <c r="AM462" t="n">
        <v>1156.17</v>
      </c>
      <c r="AN462" t="n">
        <v>1343.92</v>
      </c>
    </row>
    <row r="463">
      <c r="AJ463" t="n">
        <v>1590.99</v>
      </c>
      <c r="AK463" t="n">
        <v>1604.25</v>
      </c>
      <c r="AM463" t="n">
        <v>1152.34</v>
      </c>
      <c r="AN463" t="n">
        <v>1340.04</v>
      </c>
    </row>
    <row r="464">
      <c r="AJ464" t="n">
        <v>1591.84</v>
      </c>
      <c r="AK464" t="n">
        <v>1596.03</v>
      </c>
      <c r="AM464" t="n">
        <v>1155.43</v>
      </c>
      <c r="AN464" t="n">
        <v>1338.67</v>
      </c>
    </row>
    <row r="465">
      <c r="AJ465" t="n">
        <v>1601.18</v>
      </c>
      <c r="AK465" t="n">
        <v>1599.96</v>
      </c>
      <c r="AM465" t="n">
        <v>1153.47</v>
      </c>
      <c r="AN465" t="n">
        <v>1330.82</v>
      </c>
    </row>
    <row r="466">
      <c r="AJ466" t="n">
        <v>1609.31</v>
      </c>
      <c r="AK466" t="n">
        <v>1593.55</v>
      </c>
      <c r="AM466" t="n">
        <v>1158.7</v>
      </c>
      <c r="AN466" t="n">
        <v>1327.05</v>
      </c>
    </row>
    <row r="467">
      <c r="AJ467" t="n">
        <v>1600.6</v>
      </c>
      <c r="AK467" t="n">
        <v>1591.95</v>
      </c>
      <c r="AM467" t="n">
        <v>1162.91</v>
      </c>
      <c r="AN467" t="n">
        <v>1327.72</v>
      </c>
    </row>
    <row r="468">
      <c r="AJ468" t="n">
        <v>1611.48</v>
      </c>
      <c r="AK468" t="n">
        <v>1578.88</v>
      </c>
      <c r="AM468" t="n">
        <v>1166.46</v>
      </c>
      <c r="AN468" t="n">
        <v>1313.76</v>
      </c>
    </row>
    <row r="469">
      <c r="AJ469" t="n">
        <v>1648.05</v>
      </c>
      <c r="AK469" t="n">
        <v>1586.2</v>
      </c>
      <c r="AM469" t="n">
        <v>1165.9</v>
      </c>
      <c r="AN469" t="n">
        <v>1310.11</v>
      </c>
    </row>
    <row r="470">
      <c r="AJ470" t="n">
        <v>1654.33</v>
      </c>
      <c r="AK470" t="n">
        <v>1574.89</v>
      </c>
      <c r="AM470" t="n">
        <v>1169.26</v>
      </c>
      <c r="AN470" t="n">
        <v>1307.16</v>
      </c>
    </row>
    <row r="471">
      <c r="AJ471" t="n">
        <v>1651.51</v>
      </c>
      <c r="AK471" t="n">
        <v>1568.38</v>
      </c>
      <c r="AM471" t="n">
        <v>1168.93</v>
      </c>
      <c r="AN471" t="n">
        <v>1303.61</v>
      </c>
    </row>
    <row r="472">
      <c r="AJ472" t="n">
        <v>1640.5</v>
      </c>
      <c r="AK472" t="n">
        <v>1565.7</v>
      </c>
      <c r="AM472" t="n">
        <v>1171.33</v>
      </c>
      <c r="AN472" t="n">
        <v>1303.41</v>
      </c>
    </row>
    <row r="473">
      <c r="AJ473" t="n">
        <v>1636.11</v>
      </c>
      <c r="AK473" t="n">
        <v>1571.54</v>
      </c>
      <c r="AM473" t="n">
        <v>1171.25</v>
      </c>
      <c r="AN473" t="n">
        <v>1301.11</v>
      </c>
    </row>
    <row r="474">
      <c r="AJ474" t="n">
        <v>1633.47</v>
      </c>
      <c r="AK474" t="n">
        <v>1564.42</v>
      </c>
      <c r="AM474" t="n">
        <v>1175.47</v>
      </c>
      <c r="AN474" t="n">
        <v>1301.78</v>
      </c>
    </row>
    <row r="475">
      <c r="AJ475" t="n">
        <v>1600.11</v>
      </c>
      <c r="AK475" t="n">
        <v>1564.76</v>
      </c>
      <c r="AM475" t="n">
        <v>1175.68</v>
      </c>
      <c r="AN475" t="n">
        <v>1298.67</v>
      </c>
    </row>
    <row r="476">
      <c r="AJ476" t="n">
        <v>1593.77</v>
      </c>
      <c r="AK476" t="n">
        <v>1594.07</v>
      </c>
      <c r="AM476" t="n">
        <v>1182.96</v>
      </c>
      <c r="AN476" t="n">
        <v>1295.52</v>
      </c>
    </row>
    <row r="477">
      <c r="AJ477" t="n">
        <v>1584.58</v>
      </c>
      <c r="AK477" t="n">
        <v>1593.02</v>
      </c>
      <c r="AM477" t="n">
        <v>1184.66</v>
      </c>
      <c r="AN477" t="n">
        <v>1293.12</v>
      </c>
    </row>
    <row r="478">
      <c r="AJ478" t="n">
        <v>1578.61</v>
      </c>
      <c r="AK478" t="n">
        <v>1601.78</v>
      </c>
      <c r="AM478" t="n">
        <v>1182.37</v>
      </c>
      <c r="AN478" t="n">
        <v>1288.22</v>
      </c>
    </row>
    <row r="479">
      <c r="AJ479" t="n">
        <v>1583.11</v>
      </c>
      <c r="AK479" t="n">
        <v>1607.24</v>
      </c>
      <c r="AM479" t="n">
        <v>1184.32</v>
      </c>
      <c r="AN479" t="n">
        <v>1285.73</v>
      </c>
    </row>
    <row r="480">
      <c r="AJ480" t="n">
        <v>1590.99</v>
      </c>
      <c r="AK480" t="n">
        <v>1604.25</v>
      </c>
      <c r="AM480" t="n">
        <v>1184.4</v>
      </c>
      <c r="AN480" t="n">
        <v>1279.13</v>
      </c>
    </row>
    <row r="481">
      <c r="AM481" t="n">
        <v>1178.14</v>
      </c>
      <c r="AN481" t="n">
        <v>1278.47</v>
      </c>
    </row>
    <row r="482">
      <c r="AJ482" t="n">
        <v>1574.87</v>
      </c>
      <c r="AK482" t="n">
        <v>1596.51</v>
      </c>
      <c r="AM482" t="n">
        <v>1166.09</v>
      </c>
      <c r="AN482" t="n">
        <v>1273.44</v>
      </c>
    </row>
    <row r="483">
      <c r="AJ483" t="n">
        <v>1572.95</v>
      </c>
      <c r="AK483" t="n">
        <v>1574.22</v>
      </c>
      <c r="AM483" t="n">
        <v>1152.18</v>
      </c>
      <c r="AN483" t="n">
        <v>1278.3</v>
      </c>
    </row>
    <row r="484">
      <c r="AJ484" t="n">
        <v>1561.59</v>
      </c>
      <c r="AK484" t="n">
        <v>1573.23</v>
      </c>
      <c r="AM484" t="n">
        <v>1156.54</v>
      </c>
      <c r="AN484" t="n">
        <v>1269.36</v>
      </c>
    </row>
    <row r="485">
      <c r="AJ485" t="n">
        <v>1560.2</v>
      </c>
      <c r="AK485" t="n">
        <v>1580.4</v>
      </c>
      <c r="AM485" t="n">
        <v>1148.06</v>
      </c>
      <c r="AN485" t="n">
        <v>1271.61</v>
      </c>
    </row>
    <row r="486">
      <c r="AJ486" t="n">
        <v>1567.38</v>
      </c>
      <c r="AK486" t="n">
        <v>1584.72</v>
      </c>
      <c r="AM486" t="n">
        <v>1153.35</v>
      </c>
      <c r="AN486" t="n">
        <v>1266.19</v>
      </c>
    </row>
    <row r="487">
      <c r="AJ487" t="n">
        <v>1552.46</v>
      </c>
      <c r="AK487" t="n">
        <v>1583.52</v>
      </c>
      <c r="AM487" t="n">
        <v>1152.81</v>
      </c>
      <c r="AN487" t="n">
        <v>1263.56</v>
      </c>
    </row>
    <row r="488">
      <c r="AJ488" t="n">
        <v>1555.33</v>
      </c>
      <c r="AK488" t="n">
        <v>1589.55</v>
      </c>
      <c r="AM488" t="n">
        <v>1149.76</v>
      </c>
      <c r="AN488" t="n">
        <v>1262.88</v>
      </c>
    </row>
    <row r="489">
      <c r="AJ489" t="n">
        <v>1560.03</v>
      </c>
      <c r="AK489" t="n">
        <v>1587.42</v>
      </c>
      <c r="AM489" t="n">
        <v>1152.58</v>
      </c>
      <c r="AN489" t="n">
        <v>1258.28</v>
      </c>
    </row>
    <row r="490">
      <c r="AJ490" t="n">
        <v>1556.75</v>
      </c>
      <c r="AK490" t="n">
        <v>1597.24</v>
      </c>
      <c r="AM490" t="n">
        <v>1151.59</v>
      </c>
      <c r="AN490" t="n">
        <v>1254</v>
      </c>
    </row>
    <row r="491">
      <c r="AJ491" t="n">
        <v>1564.97</v>
      </c>
      <c r="AK491" t="n">
        <v>1588.85</v>
      </c>
      <c r="AM491" t="n">
        <v>1155.84</v>
      </c>
      <c r="AN491" t="n">
        <v>1251.27</v>
      </c>
    </row>
    <row r="492">
      <c r="AJ492" t="n">
        <v>1562.42</v>
      </c>
      <c r="AK492" t="n">
        <v>1599.72</v>
      </c>
      <c r="AM492" t="n">
        <v>1156.91</v>
      </c>
      <c r="AN492" t="n">
        <v>1248.37</v>
      </c>
    </row>
    <row r="493">
      <c r="AJ493" t="n">
        <v>1571.27</v>
      </c>
      <c r="AK493" t="n">
        <v>1601.6</v>
      </c>
      <c r="AM493" t="n">
        <v>1160.22</v>
      </c>
      <c r="AN493" t="n">
        <v>1248.6</v>
      </c>
    </row>
    <row r="494">
      <c r="AJ494" t="n">
        <v>1574.87</v>
      </c>
      <c r="AK494" t="n">
        <v>1596.51</v>
      </c>
      <c r="AM494" t="n">
        <v>1163.71</v>
      </c>
      <c r="AN494" t="n">
        <v>1246.32</v>
      </c>
    </row>
    <row r="495">
      <c r="AM495" t="n">
        <v>1166.33</v>
      </c>
      <c r="AN495" t="n">
        <v>1236.41</v>
      </c>
    </row>
    <row r="496">
      <c r="AJ496" t="n">
        <v>1553.58</v>
      </c>
      <c r="AK496" t="n">
        <v>1588.61</v>
      </c>
      <c r="AM496" t="n">
        <v>1170.29</v>
      </c>
      <c r="AN496" t="n">
        <v>1237.49</v>
      </c>
    </row>
    <row r="497">
      <c r="AJ497" t="n">
        <v>1547.18</v>
      </c>
      <c r="AK497" t="n">
        <v>1596.31</v>
      </c>
      <c r="AM497" t="n">
        <v>1170.82</v>
      </c>
      <c r="AN497" t="n">
        <v>1242.95</v>
      </c>
    </row>
    <row r="498">
      <c r="AJ498" t="n">
        <v>1554.43</v>
      </c>
      <c r="AK498" t="n">
        <v>1597.09</v>
      </c>
      <c r="AM498" t="n">
        <v>1172.7</v>
      </c>
      <c r="AN498" t="n">
        <v>1241.69</v>
      </c>
    </row>
    <row r="499">
      <c r="AJ499" t="n">
        <v>1553.58</v>
      </c>
      <c r="AK499" t="n">
        <v>1588.61</v>
      </c>
      <c r="AM499" t="n">
        <v>1176.52</v>
      </c>
      <c r="AN499" t="n">
        <v>1230.01</v>
      </c>
    </row>
    <row r="500">
      <c r="AM500" t="n">
        <v>1177.04</v>
      </c>
      <c r="AN500" t="n">
        <v>1232.29</v>
      </c>
    </row>
    <row r="501">
      <c r="AJ501" t="n">
        <v>1591.2</v>
      </c>
      <c r="AK501" t="n">
        <v>1571.42</v>
      </c>
      <c r="AM501" t="n">
        <v>1182.53</v>
      </c>
      <c r="AN501" t="n">
        <v>1229.96</v>
      </c>
    </row>
    <row r="502">
      <c r="AJ502" t="n">
        <v>1586.22</v>
      </c>
      <c r="AK502" t="n">
        <v>1564.85</v>
      </c>
      <c r="AM502" t="n">
        <v>1185.56</v>
      </c>
      <c r="AN502" t="n">
        <v>1232.03</v>
      </c>
    </row>
    <row r="503">
      <c r="AJ503" t="n">
        <v>1577.56</v>
      </c>
      <c r="AK503" t="n">
        <v>1572.11</v>
      </c>
      <c r="AM503" t="n">
        <v>1185.58</v>
      </c>
      <c r="AN503" t="n">
        <v>1234.11</v>
      </c>
    </row>
    <row r="504">
      <c r="AJ504" t="n">
        <v>1585.75</v>
      </c>
      <c r="AK504" t="n">
        <v>1582.01</v>
      </c>
      <c r="AM504" t="n">
        <v>1189.22</v>
      </c>
      <c r="AN504" t="n">
        <v>1234.78</v>
      </c>
    </row>
    <row r="505">
      <c r="AJ505" t="n">
        <v>1591.2</v>
      </c>
      <c r="AK505" t="n">
        <v>1571.42</v>
      </c>
      <c r="AM505" t="n">
        <v>1196.41</v>
      </c>
      <c r="AN505" t="n">
        <v>1231.78</v>
      </c>
    </row>
    <row r="506">
      <c r="AM506" t="n">
        <v>1198.28</v>
      </c>
      <c r="AN506" t="n">
        <v>1228.45</v>
      </c>
    </row>
    <row r="507">
      <c r="AJ507" t="n">
        <v>1594.36</v>
      </c>
      <c r="AK507" t="n">
        <v>1555.48</v>
      </c>
      <c r="AM507" t="n">
        <v>1200.36</v>
      </c>
      <c r="AN507" t="n">
        <v>1231.88</v>
      </c>
    </row>
    <row r="508">
      <c r="AJ508" t="n">
        <v>1605.38</v>
      </c>
      <c r="AK508" t="n">
        <v>1549.33</v>
      </c>
      <c r="AM508" t="n">
        <v>1197.46</v>
      </c>
      <c r="AN508" t="n">
        <v>1242.91</v>
      </c>
    </row>
    <row r="509">
      <c r="AJ509" t="n">
        <v>1597.38</v>
      </c>
      <c r="AK509" t="n">
        <v>1532.1</v>
      </c>
      <c r="AM509" t="n">
        <v>1193.59</v>
      </c>
      <c r="AN509" t="n">
        <v>1249.47</v>
      </c>
    </row>
    <row r="510">
      <c r="AJ510" t="n">
        <v>1586.77</v>
      </c>
      <c r="AK510" t="n">
        <v>1532.49</v>
      </c>
      <c r="AM510" t="n">
        <v>1195.6</v>
      </c>
      <c r="AN510" t="n">
        <v>1255.93</v>
      </c>
    </row>
    <row r="511">
      <c r="AJ511" t="n">
        <v>1589.97</v>
      </c>
      <c r="AK511" t="n">
        <v>1526.56</v>
      </c>
      <c r="AM511" t="n">
        <v>1201.68</v>
      </c>
      <c r="AN511" t="n">
        <v>1250.43</v>
      </c>
    </row>
    <row r="512">
      <c r="AJ512" t="n">
        <v>1582.08</v>
      </c>
      <c r="AK512" t="n">
        <v>1519.85</v>
      </c>
      <c r="AM512" t="n">
        <v>1197.11</v>
      </c>
      <c r="AN512" t="n">
        <v>1244.65</v>
      </c>
    </row>
    <row r="513">
      <c r="AJ513" t="n">
        <v>1580.51</v>
      </c>
      <c r="AK513" t="n">
        <v>1548.77</v>
      </c>
      <c r="AM513" t="n">
        <v>1201.2</v>
      </c>
      <c r="AN513" t="n">
        <v>1243.14</v>
      </c>
    </row>
    <row r="514">
      <c r="AJ514" t="n">
        <v>1594.36</v>
      </c>
      <c r="AK514" t="n">
        <v>1555.48</v>
      </c>
      <c r="AM514" t="n">
        <v>1203.53</v>
      </c>
      <c r="AN514" t="n">
        <v>1238.7</v>
      </c>
    </row>
    <row r="515">
      <c r="AM515" t="n">
        <v>1265.81</v>
      </c>
      <c r="AN515" t="n">
        <v>1272.07</v>
      </c>
    </row>
    <row r="516">
      <c r="AJ516" t="n">
        <v>1563.67</v>
      </c>
      <c r="AK516" t="n">
        <v>1550.92</v>
      </c>
      <c r="AM516" t="n">
        <v>1270.75</v>
      </c>
      <c r="AN516" t="n">
        <v>1263.95</v>
      </c>
    </row>
    <row r="517">
      <c r="AJ517" t="n">
        <v>1573.09</v>
      </c>
      <c r="AK517" t="n">
        <v>1552.06</v>
      </c>
      <c r="AM517" t="n">
        <v>1266.42</v>
      </c>
      <c r="AN517" t="n">
        <v>1261.54</v>
      </c>
    </row>
    <row r="518">
      <c r="AJ518" t="n">
        <v>1565.77</v>
      </c>
      <c r="AK518" t="n">
        <v>1537.05</v>
      </c>
      <c r="AM518" t="n">
        <v>1258.48</v>
      </c>
      <c r="AN518" t="n">
        <v>1252.86</v>
      </c>
    </row>
    <row r="519">
      <c r="AJ519" t="n">
        <v>1575.21</v>
      </c>
      <c r="AK519" t="n">
        <v>1529.52</v>
      </c>
      <c r="AM519" t="n">
        <v>1257.3</v>
      </c>
      <c r="AN519" t="n">
        <v>1242.61</v>
      </c>
    </row>
    <row r="520">
      <c r="AJ520" t="n">
        <v>1573.36</v>
      </c>
      <c r="AK520" t="n">
        <v>1517.3</v>
      </c>
      <c r="AM520" t="n">
        <v>1252.81</v>
      </c>
      <c r="AN520" t="n">
        <v>1229.8</v>
      </c>
    </row>
    <row r="521">
      <c r="AJ521" t="n">
        <v>1564.38</v>
      </c>
      <c r="AK521" t="n">
        <v>1518.44</v>
      </c>
      <c r="AM521" t="n">
        <v>1241.26</v>
      </c>
      <c r="AN521" t="n">
        <v>1222.65</v>
      </c>
    </row>
    <row r="522">
      <c r="AJ522" t="n">
        <v>1562.3</v>
      </c>
      <c r="AK522" t="n">
        <v>1509.39</v>
      </c>
      <c r="AM522" t="n">
        <v>1237.88</v>
      </c>
      <c r="AN522" t="n">
        <v>1218.75</v>
      </c>
    </row>
    <row r="523">
      <c r="AJ523" t="n">
        <v>1543.88</v>
      </c>
      <c r="AK523" t="n">
        <v>1537.3</v>
      </c>
      <c r="AM523" t="n">
        <v>1234.97</v>
      </c>
      <c r="AN523" t="n">
        <v>1219.8</v>
      </c>
    </row>
    <row r="524">
      <c r="AJ524" t="n">
        <v>1547.24</v>
      </c>
      <c r="AK524" t="n">
        <v>1541.77</v>
      </c>
      <c r="AM524" t="n">
        <v>1226.58</v>
      </c>
      <c r="AN524" t="n">
        <v>1216.96</v>
      </c>
    </row>
    <row r="525">
      <c r="AJ525" t="n">
        <v>1555.21</v>
      </c>
      <c r="AK525" t="n">
        <v>1535.55</v>
      </c>
      <c r="AM525" t="n">
        <v>1221.75</v>
      </c>
      <c r="AN525" t="n">
        <v>1213.44</v>
      </c>
    </row>
    <row r="526">
      <c r="AJ526" t="n">
        <v>1559.32</v>
      </c>
      <c r="AK526" t="n">
        <v>1542.62</v>
      </c>
      <c r="AM526" t="n">
        <v>1200.73</v>
      </c>
      <c r="AN526" t="n">
        <v>1205.22</v>
      </c>
    </row>
    <row r="527">
      <c r="AJ527" t="n">
        <v>1551.78</v>
      </c>
      <c r="AK527" t="n">
        <v>1548.7</v>
      </c>
      <c r="AM527" t="n">
        <v>1189.05</v>
      </c>
      <c r="AN527" t="n">
        <v>1198.09</v>
      </c>
    </row>
    <row r="528">
      <c r="AJ528" t="n">
        <v>1556.47</v>
      </c>
      <c r="AK528" t="n">
        <v>1546.98</v>
      </c>
      <c r="AM528" t="n">
        <v>1185.9</v>
      </c>
      <c r="AN528" t="n">
        <v>1192.63</v>
      </c>
    </row>
    <row r="529">
      <c r="AJ529" t="n">
        <v>1560.08</v>
      </c>
      <c r="AK529" t="n">
        <v>1555.17</v>
      </c>
      <c r="AM529" t="n">
        <v>1185.63</v>
      </c>
      <c r="AN529" t="n">
        <v>1180.48</v>
      </c>
    </row>
    <row r="530">
      <c r="AJ530" t="n">
        <v>1563.67</v>
      </c>
      <c r="AK530" t="n">
        <v>1550.92</v>
      </c>
      <c r="AM530" t="n">
        <v>1174.98</v>
      </c>
      <c r="AN530" t="n">
        <v>1170.84</v>
      </c>
    </row>
    <row r="531">
      <c r="AM531" t="n">
        <v>1169.14</v>
      </c>
      <c r="AN531" t="n">
        <v>1153.53</v>
      </c>
    </row>
    <row r="532">
      <c r="AJ532" t="n">
        <v>1632.92</v>
      </c>
      <c r="AK532" t="n">
        <v>1506.43</v>
      </c>
      <c r="AM532" t="n">
        <v>1167.2</v>
      </c>
      <c r="AN532" t="n">
        <v>1151.71</v>
      </c>
    </row>
    <row r="533">
      <c r="AJ533" t="n">
        <v>1637.42</v>
      </c>
      <c r="AK533" t="n">
        <v>1504.33</v>
      </c>
      <c r="AM533" t="n">
        <v>1151.86</v>
      </c>
      <c r="AN533" t="n">
        <v>1151.14</v>
      </c>
    </row>
    <row r="534">
      <c r="AJ534" t="n">
        <v>1637.5</v>
      </c>
      <c r="AK534" t="n">
        <v>1514.46</v>
      </c>
      <c r="AM534" t="n">
        <v>1167.63</v>
      </c>
      <c r="AN534" t="n">
        <v>1150.19</v>
      </c>
    </row>
    <row r="535">
      <c r="AJ535" t="n">
        <v>1630.26</v>
      </c>
      <c r="AK535" t="n">
        <v>1521.1</v>
      </c>
      <c r="AM535" t="n">
        <v>1167.33</v>
      </c>
      <c r="AN535" t="n">
        <v>1143.37</v>
      </c>
    </row>
    <row r="536">
      <c r="AJ536" t="n">
        <v>1638.51</v>
      </c>
      <c r="AK536" t="n">
        <v>1522.32</v>
      </c>
      <c r="AM536" t="n">
        <v>1158.32</v>
      </c>
      <c r="AN536" t="n">
        <v>1122.76</v>
      </c>
    </row>
    <row r="537">
      <c r="AJ537" t="n">
        <v>1630.25</v>
      </c>
      <c r="AK537" t="n">
        <v>1533.13</v>
      </c>
      <c r="AM537" t="n">
        <v>1151.94</v>
      </c>
      <c r="AN537" t="n">
        <v>1118.61</v>
      </c>
    </row>
    <row r="538">
      <c r="AJ538" t="n">
        <v>1636.94</v>
      </c>
      <c r="AK538" t="n">
        <v>1535.93</v>
      </c>
      <c r="AM538" t="n">
        <v>1141.85</v>
      </c>
      <c r="AN538" t="n">
        <v>1106.55</v>
      </c>
    </row>
    <row r="539">
      <c r="AJ539" t="n">
        <v>1630.62</v>
      </c>
      <c r="AK539" t="n">
        <v>1540.06</v>
      </c>
      <c r="AM539" t="n">
        <v>1138.42</v>
      </c>
      <c r="AN539" t="n">
        <v>1096.65</v>
      </c>
    </row>
    <row r="540">
      <c r="AJ540" t="n">
        <v>1646.28</v>
      </c>
      <c r="AK540" t="n">
        <v>1552.64</v>
      </c>
      <c r="AM540" t="n">
        <v>1135.56</v>
      </c>
      <c r="AN540" t="n">
        <v>1095.44</v>
      </c>
    </row>
    <row r="541">
      <c r="AJ541" t="n">
        <v>1657.14</v>
      </c>
      <c r="AK541" t="n">
        <v>1537.78</v>
      </c>
      <c r="AM541" t="n">
        <v>1133.22</v>
      </c>
      <c r="AN541" t="n">
        <v>1091.07</v>
      </c>
    </row>
    <row r="542">
      <c r="AJ542" t="n">
        <v>1656.42</v>
      </c>
      <c r="AK542" t="n">
        <v>1522.7</v>
      </c>
      <c r="AM542" t="n">
        <v>1129.42</v>
      </c>
      <c r="AN542" t="n">
        <v>1090.35</v>
      </c>
    </row>
    <row r="543">
      <c r="AJ543" t="n">
        <v>1660.71</v>
      </c>
      <c r="AK543" t="n">
        <v>1532.7</v>
      </c>
      <c r="AM543" t="n">
        <v>1133.56</v>
      </c>
      <c r="AN543" t="n">
        <v>1089.88</v>
      </c>
    </row>
    <row r="544">
      <c r="AJ544" t="n">
        <v>1668.71</v>
      </c>
      <c r="AK544" t="n">
        <v>1524.55</v>
      </c>
      <c r="AM544" t="n">
        <v>1134.41</v>
      </c>
      <c r="AN544" t="n">
        <v>1088.28</v>
      </c>
    </row>
    <row r="545">
      <c r="AJ545" t="n">
        <v>1666.49</v>
      </c>
      <c r="AK545" t="n">
        <v>1532.29</v>
      </c>
      <c r="AM545" t="n">
        <v>1130.56</v>
      </c>
      <c r="AN545" t="n">
        <v>1084.96</v>
      </c>
    </row>
    <row r="546">
      <c r="AJ546" t="n">
        <v>1673.17</v>
      </c>
      <c r="AK546" t="n">
        <v>1530.79</v>
      </c>
      <c r="AM546" t="n">
        <v>1128.52</v>
      </c>
      <c r="AN546" t="n">
        <v>1086.23</v>
      </c>
    </row>
    <row r="547">
      <c r="AJ547" t="n">
        <v>1668.78</v>
      </c>
      <c r="AK547" t="n">
        <v>1538.74</v>
      </c>
      <c r="AM547" t="n">
        <v>1128.32</v>
      </c>
      <c r="AN547" t="n">
        <v>1090.59</v>
      </c>
    </row>
    <row r="548">
      <c r="AJ548" t="n">
        <v>1680.69</v>
      </c>
      <c r="AK548" t="n">
        <v>1539.5</v>
      </c>
      <c r="AM548" t="n">
        <v>1123.96</v>
      </c>
      <c r="AN548" t="n">
        <v>1091.03</v>
      </c>
    </row>
    <row r="549">
      <c r="AJ549" t="n">
        <v>1683.25</v>
      </c>
      <c r="AK549" t="n">
        <v>1524.97</v>
      </c>
      <c r="AM549" t="n">
        <v>1110.86</v>
      </c>
      <c r="AN549" t="n">
        <v>1083.32</v>
      </c>
    </row>
    <row r="550">
      <c r="AJ550" t="n">
        <v>1690.88</v>
      </c>
      <c r="AK550" t="n">
        <v>1531.81</v>
      </c>
      <c r="AM550" t="n">
        <v>1104.24</v>
      </c>
      <c r="AN550" t="n">
        <v>1083.12</v>
      </c>
    </row>
    <row r="551">
      <c r="AJ551" t="n">
        <v>1690.16</v>
      </c>
      <c r="AK551" t="n">
        <v>1518.14</v>
      </c>
      <c r="AM551" t="n">
        <v>1097.84</v>
      </c>
      <c r="AN551" t="n">
        <v>1088.48</v>
      </c>
    </row>
    <row r="552">
      <c r="AJ552" t="n">
        <v>1693.87</v>
      </c>
      <c r="AK552" t="n">
        <v>1528.94</v>
      </c>
      <c r="AM552" t="n">
        <v>1096.42</v>
      </c>
      <c r="AN552" t="n">
        <v>1086.5</v>
      </c>
    </row>
    <row r="553">
      <c r="AJ553" t="n">
        <v>1693.55</v>
      </c>
      <c r="AK553" t="n">
        <v>1522.45</v>
      </c>
      <c r="AM553" t="n">
        <v>1086.2</v>
      </c>
      <c r="AN553" t="n">
        <v>1091.38</v>
      </c>
    </row>
    <row r="554">
      <c r="AJ554" t="n">
        <v>1699.52</v>
      </c>
      <c r="AK554" t="n">
        <v>1521.89</v>
      </c>
      <c r="AM554" t="n">
        <v>1072.42</v>
      </c>
      <c r="AN554" t="n">
        <v>1092.18</v>
      </c>
    </row>
    <row r="555">
      <c r="AJ555" t="n">
        <v>1698.93</v>
      </c>
      <c r="AK555" t="n">
        <v>1528.85</v>
      </c>
      <c r="AM555" t="n">
        <v>1063.37</v>
      </c>
      <c r="AN555" t="n">
        <v>1101.48</v>
      </c>
    </row>
    <row r="556">
      <c r="AJ556" t="n">
        <v>1709.37</v>
      </c>
      <c r="AK556" t="n">
        <v>1526.11</v>
      </c>
      <c r="AM556" t="n">
        <v>1059.82</v>
      </c>
      <c r="AN556" t="n">
        <v>1107.77</v>
      </c>
    </row>
    <row r="557">
      <c r="AJ557" t="n">
        <v>1704.63</v>
      </c>
      <c r="AK557" t="n">
        <v>1515.43</v>
      </c>
      <c r="AM557" t="n">
        <v>1048.36</v>
      </c>
      <c r="AN557" t="n">
        <v>1167.92</v>
      </c>
    </row>
    <row r="558">
      <c r="AJ558" t="n">
        <v>1713.88</v>
      </c>
      <c r="AK558" t="n">
        <v>1522.42</v>
      </c>
      <c r="AM558" t="n">
        <v>1050.72</v>
      </c>
      <c r="AN558" t="n">
        <v>1165.56</v>
      </c>
    </row>
    <row r="559">
      <c r="AJ559" t="n">
        <v>1714.84</v>
      </c>
      <c r="AK559" t="n">
        <v>1506.02</v>
      </c>
      <c r="AM559" t="n">
        <v>1048.23</v>
      </c>
      <c r="AN559" t="n">
        <v>1168.6</v>
      </c>
    </row>
    <row r="560">
      <c r="AJ560" t="n">
        <v>1718.79</v>
      </c>
      <c r="AK560" t="n">
        <v>1520.54</v>
      </c>
      <c r="AM560" t="n">
        <v>1046.29</v>
      </c>
      <c r="AN560" t="n">
        <v>1178.45</v>
      </c>
    </row>
    <row r="561">
      <c r="AJ561" t="n">
        <v>1729.39</v>
      </c>
      <c r="AK561" t="n">
        <v>1517.77</v>
      </c>
      <c r="AM561" t="n">
        <v>1048.41</v>
      </c>
      <c r="AN561" t="n">
        <v>1180.46</v>
      </c>
    </row>
    <row r="562">
      <c r="AJ562" t="n">
        <v>1722.85</v>
      </c>
      <c r="AK562" t="n">
        <v>1507.34</v>
      </c>
      <c r="AM562" t="n">
        <v>1054.02</v>
      </c>
      <c r="AN562" t="n">
        <v>1174.01</v>
      </c>
    </row>
    <row r="563">
      <c r="AJ563" t="n">
        <v>1729.02</v>
      </c>
      <c r="AK563" t="n">
        <v>1512.52</v>
      </c>
      <c r="AM563" t="n">
        <v>1054.76</v>
      </c>
      <c r="AN563" t="n">
        <v>1179.46</v>
      </c>
    </row>
    <row r="564">
      <c r="AJ564" t="n">
        <v>1730.59</v>
      </c>
      <c r="AK564" t="n">
        <v>1508.38</v>
      </c>
      <c r="AM564" t="n">
        <v>1051.15</v>
      </c>
      <c r="AN564" t="n">
        <v>1183.66</v>
      </c>
    </row>
    <row r="565">
      <c r="AJ565" t="n">
        <v>1731.98</v>
      </c>
      <c r="AK565" t="n">
        <v>1515.85</v>
      </c>
      <c r="AM565" t="n">
        <v>1055.06</v>
      </c>
      <c r="AN565" t="n">
        <v>1192.95</v>
      </c>
    </row>
    <row r="566">
      <c r="AJ566" t="n">
        <v>1737.5</v>
      </c>
      <c r="AK566" t="n">
        <v>1512.92</v>
      </c>
      <c r="AM566" t="n">
        <v>1046.97</v>
      </c>
      <c r="AN566" t="n">
        <v>1206.57</v>
      </c>
    </row>
    <row r="567">
      <c r="AJ567" t="n">
        <v>1740.14</v>
      </c>
      <c r="AK567" t="n">
        <v>1508.12</v>
      </c>
      <c r="AM567" t="n">
        <v>1043.03</v>
      </c>
      <c r="AN567" t="n">
        <v>1216.11</v>
      </c>
    </row>
    <row r="568">
      <c r="AJ568" t="n">
        <v>1730.4</v>
      </c>
      <c r="AK568" t="n">
        <v>1500.5</v>
      </c>
      <c r="AM568" t="n">
        <v>1044.44</v>
      </c>
      <c r="AN568" t="n">
        <v>1218.33</v>
      </c>
    </row>
    <row r="569">
      <c r="AJ569" t="n">
        <v>1746.79</v>
      </c>
      <c r="AK569" t="n">
        <v>1500.94</v>
      </c>
      <c r="AM569" t="n">
        <v>1043.22</v>
      </c>
      <c r="AN569" t="n">
        <v>1221.24</v>
      </c>
    </row>
    <row r="570">
      <c r="AJ570" t="n">
        <v>1734.02</v>
      </c>
      <c r="AK570" t="n">
        <v>1494.24</v>
      </c>
      <c r="AM570" t="n">
        <v>1040.55</v>
      </c>
      <c r="AN570" t="n">
        <v>1222.27</v>
      </c>
    </row>
    <row r="571">
      <c r="AJ571" t="n">
        <v>1741.05</v>
      </c>
      <c r="AK571" t="n">
        <v>1496.58</v>
      </c>
      <c r="AM571" t="n">
        <v>1041.29</v>
      </c>
      <c r="AN571" t="n">
        <v>1223.65</v>
      </c>
    </row>
    <row r="572">
      <c r="AJ572" t="n">
        <v>1742.58</v>
      </c>
      <c r="AK572" t="n">
        <v>1491.89</v>
      </c>
      <c r="AM572" t="n">
        <v>1034.05</v>
      </c>
      <c r="AN572" t="n">
        <v>1230.95</v>
      </c>
    </row>
    <row r="573">
      <c r="AJ573" t="n">
        <v>1733.79</v>
      </c>
      <c r="AK573" t="n">
        <v>1489.98</v>
      </c>
      <c r="AM573" t="n">
        <v>1050.44</v>
      </c>
      <c r="AN573" t="n">
        <v>1245.23</v>
      </c>
    </row>
    <row r="574">
      <c r="AJ574" t="n">
        <v>1751.4</v>
      </c>
      <c r="AK574" t="n">
        <v>1489.43</v>
      </c>
      <c r="AM574" t="n">
        <v>1057.26</v>
      </c>
      <c r="AN574" t="n">
        <v>1259.28</v>
      </c>
    </row>
    <row r="575">
      <c r="AJ575" t="n">
        <v>1752.59</v>
      </c>
      <c r="AK575" t="n">
        <v>1482.95</v>
      </c>
      <c r="AM575" t="n">
        <v>1057.74</v>
      </c>
      <c r="AN575" t="n">
        <v>1265.73</v>
      </c>
    </row>
    <row r="576">
      <c r="AJ576" t="n">
        <v>1755.4</v>
      </c>
      <c r="AK576" t="n">
        <v>1487.99</v>
      </c>
      <c r="AM576" t="n">
        <v>1054.19</v>
      </c>
      <c r="AN576" t="n">
        <v>1279.43</v>
      </c>
    </row>
    <row r="577">
      <c r="AJ577" t="n">
        <v>1756.44</v>
      </c>
      <c r="AK577" t="n">
        <v>1480.51</v>
      </c>
      <c r="AM577" t="n">
        <v>1050.16</v>
      </c>
      <c r="AN577" t="n">
        <v>1286.69</v>
      </c>
    </row>
    <row r="578">
      <c r="AJ578" t="n">
        <v>1758.37</v>
      </c>
      <c r="AK578" t="n">
        <v>1485.39</v>
      </c>
      <c r="AM578" t="n">
        <v>1045.65</v>
      </c>
      <c r="AN578" t="n">
        <v>1291.91</v>
      </c>
    </row>
    <row r="579">
      <c r="AJ579" t="n">
        <v>1764.23</v>
      </c>
      <c r="AK579" t="n">
        <v>1480.74</v>
      </c>
      <c r="AM579" t="n">
        <v>1031.55</v>
      </c>
      <c r="AN579" t="n">
        <v>1299.73</v>
      </c>
    </row>
    <row r="580">
      <c r="AJ580" t="n">
        <v>1764.31</v>
      </c>
      <c r="AK580" t="n">
        <v>1487.46</v>
      </c>
      <c r="AM580" t="n">
        <v>1031.16</v>
      </c>
      <c r="AN580" t="n">
        <v>1303.64</v>
      </c>
    </row>
    <row r="581">
      <c r="AJ581" t="n">
        <v>1774.12</v>
      </c>
      <c r="AK581" t="n">
        <v>1483.02</v>
      </c>
      <c r="AM581" t="n">
        <v>1035.38</v>
      </c>
      <c r="AN581" t="n">
        <v>1313.26</v>
      </c>
    </row>
    <row r="582">
      <c r="AJ582" t="n">
        <v>1770.6</v>
      </c>
      <c r="AK582" t="n">
        <v>1477.47</v>
      </c>
      <c r="AM582" t="n">
        <v>1034.43</v>
      </c>
      <c r="AN582" t="n">
        <v>1318.27</v>
      </c>
    </row>
    <row r="583">
      <c r="AJ583" t="n">
        <v>1781.29</v>
      </c>
      <c r="AK583" t="n">
        <v>1480.25</v>
      </c>
      <c r="AM583" t="n">
        <v>1037.99</v>
      </c>
      <c r="AN583" t="n">
        <v>1317.34</v>
      </c>
    </row>
    <row r="584">
      <c r="AJ584" t="n">
        <v>1780.29</v>
      </c>
      <c r="AK584" t="n">
        <v>1472.26</v>
      </c>
      <c r="AM584" t="n">
        <v>1036.48</v>
      </c>
      <c r="AN584" t="n">
        <v>1318.91</v>
      </c>
    </row>
    <row r="585">
      <c r="AJ585" t="n">
        <v>1788.07</v>
      </c>
      <c r="AK585" t="n">
        <v>1480.21</v>
      </c>
      <c r="AM585" t="n">
        <v>1036.67</v>
      </c>
      <c r="AN585" t="n">
        <v>1324.88</v>
      </c>
    </row>
    <row r="586">
      <c r="AJ586" t="n">
        <v>1795.41</v>
      </c>
      <c r="AK586" t="n">
        <v>1477.12</v>
      </c>
      <c r="AM586" t="n">
        <v>1034.09</v>
      </c>
      <c r="AN586" t="n">
        <v>1325.15</v>
      </c>
    </row>
    <row r="587">
      <c r="AJ587" t="n">
        <v>1790.35</v>
      </c>
      <c r="AK587" t="n">
        <v>1469.23</v>
      </c>
      <c r="AM587" t="n">
        <v>1034.93</v>
      </c>
      <c r="AN587" t="n">
        <v>1326.39</v>
      </c>
    </row>
    <row r="588">
      <c r="AJ588" t="n">
        <v>1796.59</v>
      </c>
      <c r="AK588" t="n">
        <v>1465.17</v>
      </c>
      <c r="AM588" t="n">
        <v>1031.99</v>
      </c>
      <c r="AN588" t="n">
        <v>1330.59</v>
      </c>
    </row>
    <row r="589">
      <c r="AJ589" t="n">
        <v>1795.46</v>
      </c>
      <c r="AK589" t="n">
        <v>1457.22</v>
      </c>
      <c r="AM589" t="n">
        <v>1033.08</v>
      </c>
      <c r="AN589" t="n">
        <v>1332.92</v>
      </c>
    </row>
    <row r="590">
      <c r="AJ590" t="n">
        <v>1788.83</v>
      </c>
      <c r="AK590" t="n">
        <v>1458.13</v>
      </c>
      <c r="AM590" t="n">
        <v>1030.35</v>
      </c>
      <c r="AN590" t="n">
        <v>1334.04</v>
      </c>
    </row>
    <row r="591">
      <c r="AJ591" t="n">
        <v>1794.72</v>
      </c>
      <c r="AK591" t="n">
        <v>1443.5</v>
      </c>
      <c r="AM591" t="n">
        <v>1031.33</v>
      </c>
      <c r="AN591" t="n">
        <v>1337.22</v>
      </c>
    </row>
    <row r="592">
      <c r="AJ592" t="n">
        <v>1777.32</v>
      </c>
      <c r="AK592" t="n">
        <v>1450.97</v>
      </c>
      <c r="AM592" t="n">
        <v>1026.46</v>
      </c>
      <c r="AN592" t="n">
        <v>1336.3</v>
      </c>
    </row>
    <row r="593">
      <c r="AJ593" t="n">
        <v>1779.44</v>
      </c>
      <c r="AK593" t="n">
        <v>1462.32</v>
      </c>
      <c r="AM593" t="n">
        <v>1029.17</v>
      </c>
      <c r="AN593" t="n">
        <v>1349.59</v>
      </c>
    </row>
    <row r="594">
      <c r="AJ594" t="n">
        <v>1773.54</v>
      </c>
      <c r="AK594" t="n">
        <v>1453.56</v>
      </c>
      <c r="AM594" t="n">
        <v>1024.1</v>
      </c>
      <c r="AN594" t="n">
        <v>1353.48</v>
      </c>
    </row>
    <row r="595">
      <c r="AJ595" t="n">
        <v>1761.6</v>
      </c>
      <c r="AK595" t="n">
        <v>1460.27</v>
      </c>
      <c r="AM595" t="n">
        <v>1021.65</v>
      </c>
      <c r="AN595" t="n">
        <v>1361.26</v>
      </c>
    </row>
    <row r="596">
      <c r="AJ596" t="n">
        <v>1762.16</v>
      </c>
      <c r="AK596" t="n">
        <v>1454.64</v>
      </c>
      <c r="AM596" t="n">
        <v>1026.3</v>
      </c>
      <c r="AN596" t="n">
        <v>1366.65</v>
      </c>
    </row>
    <row r="597">
      <c r="AJ597" t="n">
        <v>1756.93</v>
      </c>
      <c r="AK597" t="n">
        <v>1455.83</v>
      </c>
      <c r="AM597" t="n">
        <v>1039.17</v>
      </c>
      <c r="AN597" t="n">
        <v>1365.44</v>
      </c>
    </row>
    <row r="598">
      <c r="AJ598" t="n">
        <v>1763.69</v>
      </c>
      <c r="AK598" t="n">
        <v>1448.14</v>
      </c>
      <c r="AM598" t="n">
        <v>1039.91</v>
      </c>
      <c r="AN598" t="n">
        <v>1363.18</v>
      </c>
    </row>
    <row r="599">
      <c r="AJ599" t="n">
        <v>1753.14</v>
      </c>
      <c r="AK599" t="n">
        <v>1449.09</v>
      </c>
      <c r="AM599" t="n">
        <v>1042.86</v>
      </c>
      <c r="AN599" t="n">
        <v>1366.23</v>
      </c>
    </row>
    <row r="600">
      <c r="AJ600" t="n">
        <v>1798.1</v>
      </c>
      <c r="AK600" t="n">
        <v>1422.29</v>
      </c>
      <c r="AM600" t="n">
        <v>1049.27</v>
      </c>
      <c r="AN600" t="n">
        <v>1364.64</v>
      </c>
    </row>
    <row r="601">
      <c r="AJ601" t="n">
        <v>1799.63</v>
      </c>
      <c r="AK601" t="n">
        <v>1414.43</v>
      </c>
      <c r="AM601" t="n">
        <v>1048.55</v>
      </c>
      <c r="AN601" t="n">
        <v>1366.02</v>
      </c>
    </row>
    <row r="602">
      <c r="AJ602" t="n">
        <v>1792.36</v>
      </c>
      <c r="AK602" t="n">
        <v>1420.62</v>
      </c>
      <c r="AM602" t="n">
        <v>1054.52</v>
      </c>
      <c r="AN602" t="n">
        <v>1372.31</v>
      </c>
    </row>
    <row r="603">
      <c r="AJ603" t="n">
        <v>1800.71</v>
      </c>
      <c r="AK603" t="n">
        <v>1403.41</v>
      </c>
      <c r="AM603" t="n">
        <v>1064.07</v>
      </c>
      <c r="AN603" t="n">
        <v>1369</v>
      </c>
    </row>
    <row r="604">
      <c r="AJ604" t="n">
        <v>1774.14</v>
      </c>
      <c r="AK604" t="n">
        <v>1412.4</v>
      </c>
      <c r="AM604" t="n">
        <v>1064.64</v>
      </c>
      <c r="AN604" t="n">
        <v>1364.22</v>
      </c>
    </row>
    <row r="605">
      <c r="AJ605" t="n">
        <v>1777.13</v>
      </c>
      <c r="AK605" t="n">
        <v>1407.95</v>
      </c>
      <c r="AM605" t="n">
        <v>1066.3</v>
      </c>
      <c r="AN605" t="n">
        <v>1366.15</v>
      </c>
    </row>
    <row r="606">
      <c r="AJ606" t="n">
        <v>1767</v>
      </c>
      <c r="AK606" t="n">
        <v>1409.28</v>
      </c>
      <c r="AM606" t="n">
        <v>1068.76</v>
      </c>
      <c r="AN606" t="n">
        <v>1365.51</v>
      </c>
    </row>
    <row r="607">
      <c r="AJ607" t="n">
        <v>1798.83</v>
      </c>
      <c r="AK607" t="n">
        <v>1389.27</v>
      </c>
      <c r="AM607" t="n">
        <v>1071.04</v>
      </c>
      <c r="AN607" t="n">
        <v>1363.4</v>
      </c>
    </row>
    <row r="608">
      <c r="AJ608" t="n">
        <v>1754.02</v>
      </c>
      <c r="AK608" t="n">
        <v>1392.62</v>
      </c>
      <c r="AM608" t="n">
        <v>1070.12</v>
      </c>
      <c r="AN608" t="n">
        <v>1361.5</v>
      </c>
    </row>
    <row r="609">
      <c r="AJ609" t="n">
        <v>1731.81</v>
      </c>
      <c r="AK609" t="n">
        <v>1412.89</v>
      </c>
      <c r="AM609" t="n">
        <v>1072.29</v>
      </c>
      <c r="AN609" t="n">
        <v>1363.98</v>
      </c>
    </row>
    <row r="610">
      <c r="AJ610" t="n">
        <v>1727.27</v>
      </c>
      <c r="AK610" t="n">
        <v>1408.73</v>
      </c>
      <c r="AM610" t="n">
        <v>1074.46</v>
      </c>
      <c r="AN610" t="n">
        <v>1363.26</v>
      </c>
    </row>
    <row r="611">
      <c r="AJ611" t="n">
        <v>1720.57</v>
      </c>
      <c r="AK611" t="n">
        <v>1414.05</v>
      </c>
      <c r="AM611" t="n">
        <v>1073.75</v>
      </c>
      <c r="AN611" t="n">
        <v>1360</v>
      </c>
    </row>
    <row r="612">
      <c r="AJ612" t="n">
        <v>1722.27</v>
      </c>
      <c r="AK612" t="n">
        <v>1408.72</v>
      </c>
      <c r="AM612" t="n">
        <v>1077.98</v>
      </c>
      <c r="AN612" t="n">
        <v>1356.76</v>
      </c>
    </row>
    <row r="613">
      <c r="AJ613" t="n">
        <v>1708.92</v>
      </c>
      <c r="AK613" t="n">
        <v>1400.72</v>
      </c>
      <c r="AM613" t="n">
        <v>1087.95</v>
      </c>
      <c r="AN613" t="n">
        <v>1358.2</v>
      </c>
    </row>
    <row r="614">
      <c r="AJ614" t="n">
        <v>1699.27</v>
      </c>
      <c r="AK614" t="n">
        <v>1402.12</v>
      </c>
      <c r="AM614" t="n">
        <v>1091.24</v>
      </c>
      <c r="AN614" t="n">
        <v>1355.59</v>
      </c>
    </row>
    <row r="615">
      <c r="AJ615" t="n">
        <v>1700.02</v>
      </c>
      <c r="AK615" t="n">
        <v>1419.82</v>
      </c>
      <c r="AM615" t="n">
        <v>1094.07</v>
      </c>
      <c r="AN615" t="n">
        <v>1359.86</v>
      </c>
    </row>
    <row r="616">
      <c r="AJ616" t="n">
        <v>1715.45</v>
      </c>
      <c r="AK616" t="n">
        <v>1412.84</v>
      </c>
      <c r="AM616" t="n">
        <v>1095.83</v>
      </c>
      <c r="AN616" t="n">
        <v>1357.44</v>
      </c>
    </row>
    <row r="617">
      <c r="AJ617" t="n">
        <v>1711.07</v>
      </c>
      <c r="AK617" t="n">
        <v>1419.74</v>
      </c>
      <c r="AM617" t="n">
        <v>1095.53</v>
      </c>
      <c r="AN617" t="n">
        <v>1349.57</v>
      </c>
    </row>
    <row r="618">
      <c r="AJ618" t="n">
        <v>1725.47</v>
      </c>
      <c r="AK618" t="n">
        <v>1426.89</v>
      </c>
      <c r="AM618" t="n">
        <v>1098.41</v>
      </c>
      <c r="AN618" t="n">
        <v>1344.84</v>
      </c>
    </row>
    <row r="619">
      <c r="AJ619" t="n">
        <v>1716.51</v>
      </c>
      <c r="AK619" t="n">
        <v>1436.46</v>
      </c>
      <c r="AM619" t="n">
        <v>1097.58</v>
      </c>
      <c r="AN619" t="n">
        <v>1342.92</v>
      </c>
    </row>
    <row r="620">
      <c r="AJ620" t="n">
        <v>1725.14</v>
      </c>
      <c r="AK620" t="n">
        <v>1458.67</v>
      </c>
      <c r="AM620" t="n">
        <v>1090.84</v>
      </c>
      <c r="AN620" t="n">
        <v>1340.35</v>
      </c>
    </row>
    <row r="621">
      <c r="AJ621" t="n">
        <v>1701.41</v>
      </c>
      <c r="AK621" t="n">
        <v>1482.93</v>
      </c>
      <c r="AM621" t="n">
        <v>1098.04</v>
      </c>
      <c r="AN621" t="n">
        <v>1341.64</v>
      </c>
    </row>
    <row r="622">
      <c r="AJ622" t="n">
        <v>1691.95</v>
      </c>
      <c r="AK622" t="n">
        <v>1474.33</v>
      </c>
      <c r="AM622" t="n">
        <v>1101.05</v>
      </c>
      <c r="AN622" t="n">
        <v>1338.58</v>
      </c>
    </row>
    <row r="623">
      <c r="AJ623" t="n">
        <v>1694.48</v>
      </c>
      <c r="AK623" t="n">
        <v>1485.47</v>
      </c>
      <c r="AM623" t="n">
        <v>1102.53</v>
      </c>
      <c r="AN623" t="n">
        <v>1332.26</v>
      </c>
    </row>
    <row r="624">
      <c r="AJ624" t="n">
        <v>1670.63</v>
      </c>
      <c r="AK624" t="n">
        <v>1502.65</v>
      </c>
      <c r="AM624" t="n">
        <v>1105.53</v>
      </c>
      <c r="AN624" t="n">
        <v>1332.63</v>
      </c>
    </row>
    <row r="625">
      <c r="AJ625" t="n">
        <v>1674.01</v>
      </c>
      <c r="AK625" t="n">
        <v>1493.09</v>
      </c>
      <c r="AM625" t="n">
        <v>1106.5</v>
      </c>
      <c r="AN625" t="n">
        <v>1325.21</v>
      </c>
    </row>
    <row r="626">
      <c r="AJ626" t="n">
        <v>1658.04</v>
      </c>
      <c r="AK626" t="n">
        <v>1492.03</v>
      </c>
      <c r="AM626" t="n">
        <v>1105.8</v>
      </c>
      <c r="AN626" t="n">
        <v>1324.05</v>
      </c>
    </row>
    <row r="627">
      <c r="AJ627" t="n">
        <v>1662.77</v>
      </c>
      <c r="AK627" t="n">
        <v>1486.1</v>
      </c>
      <c r="AM627" t="n">
        <v>1103.81</v>
      </c>
      <c r="AN627" t="n">
        <v>1325.68</v>
      </c>
    </row>
    <row r="628">
      <c r="AJ628" t="n">
        <v>1615.79</v>
      </c>
      <c r="AK628" t="n">
        <v>1494.42</v>
      </c>
      <c r="AM628" t="n">
        <v>1102</v>
      </c>
      <c r="AN628" t="n">
        <v>1321.6</v>
      </c>
    </row>
    <row r="629">
      <c r="AJ629" t="n">
        <v>1611.98</v>
      </c>
      <c r="AK629" t="n">
        <v>1503.47</v>
      </c>
      <c r="AM629" t="n">
        <v>1105.39</v>
      </c>
      <c r="AN629" t="n">
        <v>1321.55</v>
      </c>
    </row>
    <row r="630">
      <c r="AJ630" t="n">
        <v>1624.87</v>
      </c>
      <c r="AK630" t="n">
        <v>1503.34</v>
      </c>
      <c r="AM630" t="n">
        <v>1108.44</v>
      </c>
      <c r="AN630" t="n">
        <v>1326.29</v>
      </c>
    </row>
    <row r="631">
      <c r="AJ631" t="n">
        <v>1609.59</v>
      </c>
      <c r="AK631" t="n">
        <v>1510.73</v>
      </c>
      <c r="AM631" t="n">
        <v>1113.23</v>
      </c>
      <c r="AN631" t="n">
        <v>1328.27</v>
      </c>
    </row>
    <row r="632">
      <c r="AJ632" t="n">
        <v>1611.8</v>
      </c>
      <c r="AK632" t="n">
        <v>1538.54</v>
      </c>
      <c r="AM632" t="n">
        <v>1116.75</v>
      </c>
      <c r="AN632" t="n">
        <v>1326.71</v>
      </c>
    </row>
    <row r="633">
      <c r="AJ633" t="n">
        <v>1619.74</v>
      </c>
      <c r="AK633" t="n">
        <v>1550.16</v>
      </c>
      <c r="AM633" t="n">
        <v>1119.2</v>
      </c>
      <c r="AN633" t="n">
        <v>1323.83</v>
      </c>
    </row>
    <row r="634">
      <c r="AJ634" t="n">
        <v>1631.58</v>
      </c>
      <c r="AK634" t="n">
        <v>1551.55</v>
      </c>
      <c r="AM634" t="n">
        <v>1120.48</v>
      </c>
      <c r="AN634" t="n">
        <v>1317.58</v>
      </c>
    </row>
    <row r="635">
      <c r="AJ635" t="n">
        <v>1625.02</v>
      </c>
      <c r="AK635" t="n">
        <v>1533.35</v>
      </c>
      <c r="AM635" t="n">
        <v>1116.24</v>
      </c>
      <c r="AN635" t="n">
        <v>1311.23</v>
      </c>
    </row>
    <row r="636">
      <c r="AJ636" t="n">
        <v>1635.94</v>
      </c>
      <c r="AK636" t="n">
        <v>1510.34</v>
      </c>
      <c r="AM636" t="n">
        <v>1120.71</v>
      </c>
      <c r="AN636" t="n">
        <v>1315.48</v>
      </c>
    </row>
    <row r="637">
      <c r="AJ637" t="n">
        <v>1627.96</v>
      </c>
      <c r="AK637" t="n">
        <v>1503.58</v>
      </c>
      <c r="AM637" t="n">
        <v>1121.26</v>
      </c>
      <c r="AN637" t="n">
        <v>1323.91</v>
      </c>
    </row>
    <row r="638">
      <c r="AJ638" t="n">
        <v>1632.92</v>
      </c>
      <c r="AK638" t="n">
        <v>1506.43</v>
      </c>
      <c r="AM638" t="n">
        <v>1123.61</v>
      </c>
      <c r="AN638" t="n">
        <v>1321.36</v>
      </c>
    </row>
    <row r="639">
      <c r="AM639" t="n">
        <v>1123.11</v>
      </c>
      <c r="AN639" t="n">
        <v>1318.24</v>
      </c>
    </row>
    <row r="640">
      <c r="AJ640" t="n">
        <v>1658.81</v>
      </c>
      <c r="AK640" t="n">
        <v>1553.3</v>
      </c>
      <c r="AM640" t="n">
        <v>1124.06</v>
      </c>
      <c r="AN640" t="n">
        <v>1323.37</v>
      </c>
    </row>
    <row r="641">
      <c r="AJ641" t="n">
        <v>1669.58</v>
      </c>
      <c r="AK641" t="n">
        <v>1553.18</v>
      </c>
      <c r="AM641" t="n">
        <v>1127.23</v>
      </c>
      <c r="AN641" t="n">
        <v>1317.13</v>
      </c>
    </row>
    <row r="642">
      <c r="AJ642" t="n">
        <v>1677.13</v>
      </c>
      <c r="AK642" t="n">
        <v>1543.36</v>
      </c>
      <c r="AM642" t="n">
        <v>1126.75</v>
      </c>
      <c r="AN642" t="n">
        <v>1320.97</v>
      </c>
    </row>
    <row r="643">
      <c r="AJ643" t="n">
        <v>1659.25</v>
      </c>
      <c r="AK643" t="n">
        <v>1539.22</v>
      </c>
      <c r="AM643" t="n">
        <v>1131.97</v>
      </c>
      <c r="AN643" t="n">
        <v>1328.25</v>
      </c>
    </row>
    <row r="644">
      <c r="AJ644" t="n">
        <v>1651.49</v>
      </c>
      <c r="AK644" t="n">
        <v>1553.33</v>
      </c>
      <c r="AM644" t="n">
        <v>1132.92</v>
      </c>
      <c r="AN644" t="n">
        <v>1334.18</v>
      </c>
    </row>
    <row r="645">
      <c r="AJ645" t="n">
        <v>1658.81</v>
      </c>
      <c r="AK645" t="n">
        <v>1553.3</v>
      </c>
      <c r="AM645" t="n">
        <v>1135.98</v>
      </c>
      <c r="AN645" t="n">
        <v>1333.08</v>
      </c>
    </row>
    <row r="646">
      <c r="AM646" t="n">
        <v>1138.18</v>
      </c>
      <c r="AN646" t="n">
        <v>1329.77</v>
      </c>
    </row>
    <row r="647">
      <c r="AJ647" t="n">
        <v>1531.63</v>
      </c>
      <c r="AK647" t="n">
        <v>1542.11</v>
      </c>
      <c r="AM647" t="n">
        <v>1135.23</v>
      </c>
      <c r="AN647" t="n">
        <v>1335.72</v>
      </c>
    </row>
    <row r="648">
      <c r="AJ648" t="n">
        <v>1528.09</v>
      </c>
      <c r="AK648" t="n">
        <v>1556.45</v>
      </c>
      <c r="AM648" t="n">
        <v>1136.55</v>
      </c>
      <c r="AN648" t="n">
        <v>1340.18</v>
      </c>
    </row>
    <row r="649">
      <c r="AJ649" t="n">
        <v>1537.14</v>
      </c>
      <c r="AK649" t="n">
        <v>1553.23</v>
      </c>
      <c r="AM649" t="n">
        <v>1138.97</v>
      </c>
      <c r="AN649" t="n">
        <v>1341.42</v>
      </c>
    </row>
    <row r="650">
      <c r="AJ650" t="n">
        <v>1531.63</v>
      </c>
      <c r="AK650" t="n">
        <v>1542.11</v>
      </c>
      <c r="AM650" t="n">
        <v>1135.34</v>
      </c>
      <c r="AN650" t="n">
        <v>1343.17</v>
      </c>
    </row>
    <row r="651">
      <c r="AM651" t="n">
        <v>1136.97</v>
      </c>
      <c r="AN651" t="n">
        <v>1345.93</v>
      </c>
    </row>
    <row r="652">
      <c r="AJ652" t="n">
        <v>1565.91</v>
      </c>
      <c r="AK652" t="n">
        <v>1480.3</v>
      </c>
      <c r="AM652" t="n">
        <v>1135.38</v>
      </c>
      <c r="AN652" t="n">
        <v>1347.82</v>
      </c>
    </row>
    <row r="653">
      <c r="AJ653" t="n">
        <v>1577.8</v>
      </c>
      <c r="AK653" t="n">
        <v>1465.67</v>
      </c>
      <c r="AM653" t="n">
        <v>1139.41</v>
      </c>
      <c r="AN653" t="n">
        <v>1348.13</v>
      </c>
    </row>
    <row r="654">
      <c r="AJ654" t="n">
        <v>1570.46</v>
      </c>
      <c r="AK654" t="n">
        <v>1460.18</v>
      </c>
      <c r="AM654" t="n">
        <v>1135.46</v>
      </c>
      <c r="AN654" t="n">
        <v>1349.16</v>
      </c>
    </row>
    <row r="655">
      <c r="AJ655" t="n">
        <v>1552.3</v>
      </c>
      <c r="AK655" t="n">
        <v>1470.27</v>
      </c>
      <c r="AM655" t="n">
        <v>1133.65</v>
      </c>
      <c r="AN655" t="n">
        <v>1352.81</v>
      </c>
    </row>
    <row r="656">
      <c r="AJ656" t="n">
        <v>1561.54</v>
      </c>
      <c r="AK656" t="n">
        <v>1483.61</v>
      </c>
      <c r="AM656" t="n">
        <v>1136.83</v>
      </c>
      <c r="AN656" t="n">
        <v>1353.67</v>
      </c>
    </row>
    <row r="657">
      <c r="AJ657" t="n">
        <v>1565.91</v>
      </c>
      <c r="AK657" t="n">
        <v>1480.3</v>
      </c>
      <c r="AM657" t="n">
        <v>1135.05</v>
      </c>
      <c r="AN657" t="n">
        <v>1354.92</v>
      </c>
    </row>
    <row r="658">
      <c r="AM658" t="n">
        <v>1134.34</v>
      </c>
      <c r="AN658" t="n">
        <v>1359.43</v>
      </c>
    </row>
    <row r="659">
      <c r="AJ659" t="n">
        <v>1699.02</v>
      </c>
      <c r="AK659" t="n">
        <v>1469.46</v>
      </c>
      <c r="AM659" t="n">
        <v>1134.56</v>
      </c>
      <c r="AN659" t="n">
        <v>1363.44</v>
      </c>
    </row>
    <row r="660">
      <c r="AJ660" t="n">
        <v>1705.7</v>
      </c>
      <c r="AK660" t="n">
        <v>1456.15</v>
      </c>
      <c r="AM660" t="n">
        <v>1136.23</v>
      </c>
      <c r="AN660" t="n">
        <v>1363.82</v>
      </c>
    </row>
    <row r="661">
      <c r="AJ661" t="n">
        <v>1695.99</v>
      </c>
      <c r="AK661" t="n">
        <v>1449.84</v>
      </c>
    </row>
    <row r="662">
      <c r="AJ662" t="n">
        <v>1691.4</v>
      </c>
      <c r="AK662" t="n">
        <v>1459.37</v>
      </c>
      <c r="AM662" t="n">
        <v>1245.19</v>
      </c>
      <c r="AN662" t="n">
        <v>1202.74</v>
      </c>
    </row>
    <row r="663">
      <c r="AJ663" t="n">
        <v>1699.02</v>
      </c>
      <c r="AK663" t="n">
        <v>1469.46</v>
      </c>
      <c r="AM663" t="n">
        <v>1241.09</v>
      </c>
      <c r="AN663" t="n">
        <v>1200.46</v>
      </c>
    </row>
    <row r="664">
      <c r="AM664" t="n">
        <v>1229.61</v>
      </c>
      <c r="AN664" t="n">
        <v>1198.49</v>
      </c>
    </row>
    <row r="665">
      <c r="AJ665" t="n">
        <v>1561.31</v>
      </c>
      <c r="AK665" t="n">
        <v>1134.33</v>
      </c>
      <c r="AM665" t="n">
        <v>1211.9</v>
      </c>
      <c r="AN665" t="n">
        <v>1201.88</v>
      </c>
    </row>
    <row r="666">
      <c r="AJ666" t="n">
        <v>1564.4</v>
      </c>
      <c r="AK666" t="n">
        <v>1194.02</v>
      </c>
      <c r="AM666" t="n">
        <v>1215.02</v>
      </c>
      <c r="AN666" t="n">
        <v>1204.47</v>
      </c>
    </row>
    <row r="667">
      <c r="AJ667" t="n">
        <v>1625.85</v>
      </c>
      <c r="AK667" t="n">
        <v>1262.8</v>
      </c>
      <c r="AM667" t="n">
        <v>1227.79</v>
      </c>
      <c r="AN667" t="n">
        <v>1206.9</v>
      </c>
    </row>
    <row r="668">
      <c r="AJ668" t="n">
        <v>1640.42</v>
      </c>
      <c r="AK668" t="n">
        <v>1249.44</v>
      </c>
      <c r="AM668" t="n">
        <v>1243.12</v>
      </c>
      <c r="AN668" t="n">
        <v>1205.79</v>
      </c>
    </row>
    <row r="669">
      <c r="AJ669" t="n">
        <v>1659.78</v>
      </c>
      <c r="AK669" t="n">
        <v>1242.85</v>
      </c>
      <c r="AM669" t="n">
        <v>1245.89</v>
      </c>
      <c r="AN669" t="n">
        <v>1203.88</v>
      </c>
    </row>
    <row r="670">
      <c r="AJ670" t="n">
        <v>1662.22</v>
      </c>
      <c r="AK670" t="n">
        <v>1235.18</v>
      </c>
      <c r="AM670" t="n">
        <v>1245.19</v>
      </c>
      <c r="AN670" t="n">
        <v>1202.74</v>
      </c>
    </row>
    <row r="671">
      <c r="AJ671" t="n">
        <v>1675.92</v>
      </c>
      <c r="AK671" t="n">
        <v>1240.88</v>
      </c>
    </row>
    <row r="672">
      <c r="AJ672" t="n">
        <v>1692.27</v>
      </c>
      <c r="AK672" t="n">
        <v>1237.62</v>
      </c>
      <c r="AM672" t="n">
        <v>1258.35</v>
      </c>
      <c r="AN672" t="n">
        <v>1173.87</v>
      </c>
    </row>
    <row r="673">
      <c r="AJ673" t="n">
        <v>1704.33</v>
      </c>
      <c r="AK673" t="n">
        <v>1191.14</v>
      </c>
      <c r="AM673" t="n">
        <v>1260.1</v>
      </c>
      <c r="AN673" t="n">
        <v>1174.37</v>
      </c>
    </row>
    <row r="674">
      <c r="AJ674" t="n">
        <v>1717.92</v>
      </c>
      <c r="AK674" t="n">
        <v>1185.37</v>
      </c>
      <c r="AM674" t="n">
        <v>1257.79</v>
      </c>
      <c r="AN674" t="n">
        <v>1172.6</v>
      </c>
    </row>
    <row r="675">
      <c r="AJ675" t="n">
        <v>1717.83</v>
      </c>
      <c r="AK675" t="n">
        <v>1174.11</v>
      </c>
      <c r="AM675" t="n">
        <v>1257.05</v>
      </c>
      <c r="AN675" t="n">
        <v>1176.16</v>
      </c>
    </row>
    <row r="676">
      <c r="AJ676" t="n">
        <v>1723.41</v>
      </c>
      <c r="AK676" t="n">
        <v>1178.63</v>
      </c>
      <c r="AM676" t="n">
        <v>1261.05</v>
      </c>
      <c r="AN676" t="n">
        <v>1182.37</v>
      </c>
    </row>
    <row r="677">
      <c r="AJ677" t="n">
        <v>1732.71</v>
      </c>
      <c r="AK677" t="n">
        <v>1173.35</v>
      </c>
      <c r="AM677" t="n">
        <v>1258.35</v>
      </c>
      <c r="AN677" t="n">
        <v>1173.87</v>
      </c>
    </row>
    <row r="678">
      <c r="AJ678" t="n">
        <v>1744.17</v>
      </c>
      <c r="AK678" t="n">
        <v>1113.21</v>
      </c>
    </row>
    <row r="679">
      <c r="AJ679" t="n">
        <v>1755.06</v>
      </c>
      <c r="AK679" t="n">
        <v>1098.7</v>
      </c>
      <c r="AM679" t="n">
        <v>1138.55</v>
      </c>
      <c r="AN679" t="n">
        <v>1091.89</v>
      </c>
    </row>
    <row r="680">
      <c r="AJ680" t="n">
        <v>1788.6</v>
      </c>
      <c r="AK680" t="n">
        <v>1088.56</v>
      </c>
      <c r="AM680" t="n">
        <v>1133.99</v>
      </c>
      <c r="AN680" t="n">
        <v>1090.19</v>
      </c>
    </row>
    <row r="681">
      <c r="AJ681" t="n">
        <v>1810.08</v>
      </c>
      <c r="AK681" t="n">
        <v>1096.59</v>
      </c>
      <c r="AM681" t="n">
        <v>1137.86</v>
      </c>
      <c r="AN681" t="n">
        <v>1095.93</v>
      </c>
    </row>
    <row r="682">
      <c r="AJ682" t="n">
        <v>1814.91</v>
      </c>
      <c r="AK682" t="n">
        <v>1090.4</v>
      </c>
      <c r="AM682" t="n">
        <v>1138.55</v>
      </c>
      <c r="AN682" t="n">
        <v>1091.89</v>
      </c>
    </row>
    <row r="683">
      <c r="AJ683" t="n">
        <v>1798</v>
      </c>
      <c r="AK683" t="n">
        <v>1070.22</v>
      </c>
    </row>
    <row r="684">
      <c r="AJ684" t="n">
        <v>1780.38</v>
      </c>
      <c r="AK684" t="n">
        <v>1061.57</v>
      </c>
    </row>
    <row r="685">
      <c r="AJ685" t="n">
        <v>1789.11</v>
      </c>
      <c r="AK685" t="n">
        <v>1063.06</v>
      </c>
    </row>
    <row r="686">
      <c r="AJ686" t="n">
        <v>1787.65</v>
      </c>
      <c r="AK686" t="n">
        <v>1058.68</v>
      </c>
    </row>
    <row r="687">
      <c r="AJ687" t="n">
        <v>1757.95</v>
      </c>
      <c r="AK687" t="n">
        <v>1047.66</v>
      </c>
    </row>
    <row r="688">
      <c r="AJ688" t="n">
        <v>1755.25</v>
      </c>
      <c r="AK688" t="n">
        <v>1041.12</v>
      </c>
    </row>
    <row r="689">
      <c r="AJ689" t="n">
        <v>1764.5</v>
      </c>
      <c r="AK689" t="n">
        <v>1042.77</v>
      </c>
    </row>
    <row r="690">
      <c r="AJ690" t="n">
        <v>1767.44</v>
      </c>
      <c r="AK690" t="n">
        <v>1036.23</v>
      </c>
    </row>
    <row r="691">
      <c r="AJ691" t="n">
        <v>1751.19</v>
      </c>
      <c r="AK691" t="n">
        <v>1030.86</v>
      </c>
    </row>
    <row r="692">
      <c r="AJ692" t="n">
        <v>1753.76</v>
      </c>
      <c r="AK692" t="n">
        <v>1027.14</v>
      </c>
    </row>
    <row r="693">
      <c r="AJ693" t="n">
        <v>1736.44</v>
      </c>
      <c r="AK693" t="n">
        <v>1025.54</v>
      </c>
    </row>
    <row r="694">
      <c r="AJ694" t="n">
        <v>1717.9</v>
      </c>
      <c r="AK694" t="n">
        <v>1011.22</v>
      </c>
    </row>
    <row r="695">
      <c r="AJ695" t="n">
        <v>1715.69</v>
      </c>
      <c r="AK695" t="n">
        <v>1016.36</v>
      </c>
    </row>
    <row r="696">
      <c r="AJ696" t="n">
        <v>1723.68</v>
      </c>
      <c r="AK696" t="n">
        <v>1018.79</v>
      </c>
    </row>
    <row r="697">
      <c r="AJ697" t="n">
        <v>1722.24</v>
      </c>
      <c r="AK697" t="n">
        <v>1030.2</v>
      </c>
    </row>
    <row r="698">
      <c r="AJ698" t="n">
        <v>1729.84</v>
      </c>
      <c r="AK698" t="n">
        <v>1038.27</v>
      </c>
    </row>
    <row r="699">
      <c r="AJ699" t="n">
        <v>1732.02</v>
      </c>
      <c r="AK699" t="n">
        <v>1061.42</v>
      </c>
    </row>
    <row r="700">
      <c r="AJ700" t="n">
        <v>1725.08</v>
      </c>
      <c r="AK700" t="n">
        <v>1071.07</v>
      </c>
    </row>
    <row r="701">
      <c r="AJ701" t="n">
        <v>1747.37</v>
      </c>
      <c r="AK701" t="n">
        <v>1061.25</v>
      </c>
    </row>
    <row r="702">
      <c r="AJ702" t="n">
        <v>1746.2</v>
      </c>
      <c r="AK702" t="n">
        <v>1066.82</v>
      </c>
    </row>
    <row r="703">
      <c r="AJ703" t="n">
        <v>1751.66</v>
      </c>
      <c r="AK703" t="n">
        <v>1067.14</v>
      </c>
    </row>
    <row r="704">
      <c r="AJ704" t="n">
        <v>1744.83</v>
      </c>
      <c r="AK704" t="n">
        <v>1076.86</v>
      </c>
    </row>
    <row r="705">
      <c r="AJ705" t="n">
        <v>1733.78</v>
      </c>
      <c r="AK705" t="n">
        <v>1085.11</v>
      </c>
    </row>
    <row r="706">
      <c r="AJ706" t="n">
        <v>1687.94</v>
      </c>
      <c r="AK706" t="n">
        <v>1087.88</v>
      </c>
    </row>
    <row r="707">
      <c r="AJ707" t="n">
        <v>1681.02</v>
      </c>
      <c r="AK707" t="n">
        <v>1112.75</v>
      </c>
    </row>
    <row r="708">
      <c r="AJ708" t="n">
        <v>1668.36</v>
      </c>
      <c r="AK708" t="n">
        <v>1113.22</v>
      </c>
    </row>
    <row r="709">
      <c r="AJ709" t="n">
        <v>1661.09</v>
      </c>
      <c r="AK709" t="n">
        <v>1125.39</v>
      </c>
    </row>
    <row r="710">
      <c r="AJ710" t="n">
        <v>1641.54</v>
      </c>
      <c r="AK710" t="n">
        <v>1128.18</v>
      </c>
    </row>
    <row r="711">
      <c r="AJ711" t="n">
        <v>1625.93</v>
      </c>
      <c r="AK711" t="n">
        <v>1110.1</v>
      </c>
    </row>
    <row r="712">
      <c r="AJ712" t="n">
        <v>1602.84</v>
      </c>
      <c r="AK712" t="n">
        <v>1110.49</v>
      </c>
    </row>
    <row r="713">
      <c r="AJ713" t="n">
        <v>1566.95</v>
      </c>
      <c r="AK713" t="n">
        <v>1123.06</v>
      </c>
    </row>
    <row r="714">
      <c r="AJ714" t="n">
        <v>1561.31</v>
      </c>
      <c r="AK714" t="n">
        <v>1134.33</v>
      </c>
    </row>
    <row r="716">
      <c r="AJ716" t="n">
        <v>1707.94</v>
      </c>
      <c r="AK716" t="n">
        <v>1079.05</v>
      </c>
    </row>
    <row r="717">
      <c r="AJ717" t="n">
        <v>1724.9</v>
      </c>
      <c r="AK717" t="n">
        <v>1080.74</v>
      </c>
    </row>
    <row r="718">
      <c r="AJ718" t="n">
        <v>1721.94</v>
      </c>
      <c r="AK718" t="n">
        <v>1075.78</v>
      </c>
    </row>
    <row r="719">
      <c r="AJ719" t="n">
        <v>1707.94</v>
      </c>
      <c r="AK719" t="n">
        <v>1079.05</v>
      </c>
    </row>
    <row r="721">
      <c r="AJ721" t="n">
        <v>1928.56</v>
      </c>
      <c r="AK721" t="n">
        <v>1156.49</v>
      </c>
    </row>
    <row r="722">
      <c r="AJ722" t="n">
        <v>1948.38</v>
      </c>
      <c r="AK722" t="n">
        <v>1165.2</v>
      </c>
    </row>
    <row r="723">
      <c r="AJ723" t="n">
        <v>1946.51</v>
      </c>
      <c r="AK723" t="n">
        <v>1155.57</v>
      </c>
    </row>
    <row r="724">
      <c r="AJ724" t="n">
        <v>1932.13</v>
      </c>
      <c r="AK724" t="n">
        <v>1153.49</v>
      </c>
    </row>
    <row r="725">
      <c r="AJ725" t="n">
        <v>1920.92</v>
      </c>
      <c r="AK725" t="n">
        <v>1156.23</v>
      </c>
    </row>
    <row r="726">
      <c r="AJ726" t="n">
        <v>1922.06</v>
      </c>
      <c r="AK726" t="n">
        <v>1164.91</v>
      </c>
    </row>
    <row r="727">
      <c r="AJ727" t="n">
        <v>1928.56</v>
      </c>
      <c r="AK727" t="n">
        <v>1156.49</v>
      </c>
    </row>
    <row r="729">
      <c r="AJ729" t="n">
        <v>1885.87</v>
      </c>
      <c r="AK729" t="n">
        <v>1167.32</v>
      </c>
    </row>
    <row r="730">
      <c r="AJ730" t="n">
        <v>1870.79</v>
      </c>
      <c r="AK730" t="n">
        <v>1160.84</v>
      </c>
    </row>
    <row r="731">
      <c r="AJ731" t="n">
        <v>1869.91</v>
      </c>
      <c r="AK731" t="n">
        <v>1150.71</v>
      </c>
    </row>
    <row r="732">
      <c r="AJ732" t="n">
        <v>1861.6</v>
      </c>
      <c r="AK732" t="n">
        <v>1147.19</v>
      </c>
    </row>
    <row r="733">
      <c r="AJ733" t="n">
        <v>1857.21</v>
      </c>
      <c r="AK733" t="n">
        <v>1107.58</v>
      </c>
    </row>
    <row r="734">
      <c r="AJ734" t="n">
        <v>1849.83</v>
      </c>
      <c r="AK734" t="n">
        <v>1097.03</v>
      </c>
    </row>
    <row r="735">
      <c r="AJ735" t="n">
        <v>1811.62</v>
      </c>
      <c r="AK735" t="n">
        <v>1085.42</v>
      </c>
    </row>
    <row r="736">
      <c r="AJ736" t="n">
        <v>1849.84</v>
      </c>
      <c r="AK736" t="n">
        <v>1135.12</v>
      </c>
    </row>
    <row r="737">
      <c r="AJ737" t="n">
        <v>1871.24</v>
      </c>
      <c r="AK737" t="n">
        <v>1177.02</v>
      </c>
    </row>
    <row r="738">
      <c r="AJ738" t="n">
        <v>1889.97</v>
      </c>
      <c r="AK738" t="n">
        <v>1192.65</v>
      </c>
    </row>
    <row r="739">
      <c r="AJ739" t="n">
        <v>1906.42</v>
      </c>
      <c r="AK739" t="n">
        <v>1192.62</v>
      </c>
    </row>
    <row r="740">
      <c r="AJ740" t="n">
        <v>1901.37</v>
      </c>
      <c r="AK740" t="n">
        <v>1174</v>
      </c>
    </row>
    <row r="741">
      <c r="AJ741" t="n">
        <v>1885.87</v>
      </c>
      <c r="AK741" t="n">
        <v>1167.32</v>
      </c>
    </row>
    <row r="743">
      <c r="AJ743" t="n">
        <v>1820.58</v>
      </c>
      <c r="AK743" t="n">
        <v>1369.26</v>
      </c>
    </row>
    <row r="744">
      <c r="AJ744" t="n">
        <v>1832.06</v>
      </c>
      <c r="AK744" t="n">
        <v>1350.44</v>
      </c>
    </row>
    <row r="745">
      <c r="AJ745" t="n">
        <v>1828.34</v>
      </c>
      <c r="AK745" t="n">
        <v>1347.43</v>
      </c>
    </row>
    <row r="746">
      <c r="AJ746" t="n">
        <v>1840.53</v>
      </c>
      <c r="AK746" t="n">
        <v>1349.35</v>
      </c>
    </row>
    <row r="747">
      <c r="AJ747" t="n">
        <v>1837.83</v>
      </c>
      <c r="AK747" t="n">
        <v>1336.25</v>
      </c>
    </row>
    <row r="748">
      <c r="AJ748" t="n">
        <v>1847.26</v>
      </c>
      <c r="AK748" t="n">
        <v>1333.16</v>
      </c>
    </row>
    <row r="749">
      <c r="AJ749" t="n">
        <v>1853.29</v>
      </c>
      <c r="AK749" t="n">
        <v>1309.05</v>
      </c>
    </row>
    <row r="750">
      <c r="AJ750" t="n">
        <v>1869.02</v>
      </c>
      <c r="AK750" t="n">
        <v>1298.56</v>
      </c>
    </row>
    <row r="751">
      <c r="AJ751" t="n">
        <v>1868.75</v>
      </c>
      <c r="AK751" t="n">
        <v>1284.57</v>
      </c>
    </row>
    <row r="752">
      <c r="AJ752" t="n">
        <v>1850.44</v>
      </c>
      <c r="AK752" t="n">
        <v>1278.87</v>
      </c>
    </row>
    <row r="753">
      <c r="AJ753" t="n">
        <v>1836.53</v>
      </c>
      <c r="AK753" t="n">
        <v>1283.74</v>
      </c>
    </row>
    <row r="754">
      <c r="AJ754" t="n">
        <v>1840.9</v>
      </c>
      <c r="AK754" t="n">
        <v>1274.8</v>
      </c>
    </row>
    <row r="755">
      <c r="AJ755" t="n">
        <v>1832.41</v>
      </c>
      <c r="AK755" t="n">
        <v>1277.05</v>
      </c>
    </row>
    <row r="756">
      <c r="AJ756" t="n">
        <v>1837.71</v>
      </c>
      <c r="AK756" t="n">
        <v>1271.62</v>
      </c>
    </row>
    <row r="757">
      <c r="AJ757" t="n">
        <v>1835.94</v>
      </c>
      <c r="AK757" t="n">
        <v>1259.44</v>
      </c>
    </row>
    <row r="758">
      <c r="AJ758" t="n">
        <v>1848.06</v>
      </c>
      <c r="AK758" t="n">
        <v>1251.75</v>
      </c>
    </row>
    <row r="759">
      <c r="AJ759" t="n">
        <v>1850.69</v>
      </c>
      <c r="AK759" t="n">
        <v>1241.85</v>
      </c>
    </row>
    <row r="760">
      <c r="AJ760" t="n">
        <v>1855.17</v>
      </c>
      <c r="AK760" t="n">
        <v>1248.38</v>
      </c>
    </row>
    <row r="761">
      <c r="AJ761" t="n">
        <v>1860.87</v>
      </c>
      <c r="AK761" t="n">
        <v>1235.45</v>
      </c>
    </row>
    <row r="762">
      <c r="AJ762" t="n">
        <v>1873.57</v>
      </c>
      <c r="AK762" t="n">
        <v>1240.22</v>
      </c>
    </row>
    <row r="763">
      <c r="AJ763" t="n">
        <v>1882.63</v>
      </c>
      <c r="AK763" t="n">
        <v>1233.89</v>
      </c>
    </row>
    <row r="764">
      <c r="AJ764" t="n">
        <v>1879.96</v>
      </c>
      <c r="AK764" t="n">
        <v>1261.37</v>
      </c>
    </row>
    <row r="765">
      <c r="AJ765" t="n">
        <v>1887.88</v>
      </c>
      <c r="AK765" t="n">
        <v>1244.14</v>
      </c>
    </row>
    <row r="766">
      <c r="AJ766" t="n">
        <v>1950.17</v>
      </c>
      <c r="AK766" t="n">
        <v>1277.51</v>
      </c>
    </row>
    <row r="767">
      <c r="AJ767" t="n">
        <v>1955.11</v>
      </c>
      <c r="AK767" t="n">
        <v>1269.39</v>
      </c>
    </row>
    <row r="768">
      <c r="AJ768" t="n">
        <v>1942.84</v>
      </c>
      <c r="AK768" t="n">
        <v>1258.3</v>
      </c>
    </row>
    <row r="769">
      <c r="AJ769" t="n">
        <v>1937.16</v>
      </c>
      <c r="AK769" t="n">
        <v>1235.23</v>
      </c>
    </row>
    <row r="770">
      <c r="AJ770" t="n">
        <v>1873.41</v>
      </c>
      <c r="AK770" t="n">
        <v>1203.53</v>
      </c>
    </row>
    <row r="771">
      <c r="AJ771" t="n">
        <v>1869.99</v>
      </c>
      <c r="AK771" t="n">
        <v>1185.92</v>
      </c>
    </row>
    <row r="772">
      <c r="AJ772" t="n">
        <v>1859.34</v>
      </c>
      <c r="AK772" t="n">
        <v>1176.28</v>
      </c>
    </row>
    <row r="773">
      <c r="AJ773" t="n">
        <v>1853.5</v>
      </c>
      <c r="AK773" t="n">
        <v>1158.97</v>
      </c>
    </row>
    <row r="774">
      <c r="AJ774" t="n">
        <v>1836.21</v>
      </c>
      <c r="AK774" t="n">
        <v>1156.58</v>
      </c>
    </row>
    <row r="775">
      <c r="AJ775" t="n">
        <v>1851.98</v>
      </c>
      <c r="AK775" t="n">
        <v>1155.62</v>
      </c>
    </row>
    <row r="776">
      <c r="AJ776" t="n">
        <v>1851.69</v>
      </c>
      <c r="AK776" t="n">
        <v>1148.81</v>
      </c>
    </row>
    <row r="777">
      <c r="AJ777" t="n">
        <v>1842.68</v>
      </c>
      <c r="AK777" t="n">
        <v>1128.2</v>
      </c>
    </row>
    <row r="778">
      <c r="AJ778" t="n">
        <v>1813.78</v>
      </c>
      <c r="AK778" t="n">
        <v>1095.79</v>
      </c>
    </row>
    <row r="779">
      <c r="AJ779" t="n">
        <v>1818.77</v>
      </c>
      <c r="AK779" t="n">
        <v>1093.71</v>
      </c>
    </row>
    <row r="780">
      <c r="AJ780" t="n">
        <v>1814.91</v>
      </c>
      <c r="AK780" t="n">
        <v>1090.4</v>
      </c>
    </row>
    <row r="781">
      <c r="AJ781" t="n">
        <v>1808.31</v>
      </c>
      <c r="AK781" t="n">
        <v>1096.47</v>
      </c>
    </row>
    <row r="782">
      <c r="AJ782" t="n">
        <v>1788.6</v>
      </c>
      <c r="AK782" t="n">
        <v>1088.56</v>
      </c>
    </row>
    <row r="783">
      <c r="AJ783" t="n">
        <v>1756.78</v>
      </c>
      <c r="AK783" t="n">
        <v>1097.62</v>
      </c>
    </row>
    <row r="784">
      <c r="AJ784" t="n">
        <v>1744.17</v>
      </c>
      <c r="AK784" t="n">
        <v>1113.21</v>
      </c>
    </row>
    <row r="785">
      <c r="AJ785" t="n">
        <v>1730.64</v>
      </c>
      <c r="AK785" t="n">
        <v>1183.89</v>
      </c>
    </row>
    <row r="786">
      <c r="AJ786" t="n">
        <v>1738.37</v>
      </c>
      <c r="AK786" t="n">
        <v>1179.44</v>
      </c>
    </row>
    <row r="787">
      <c r="AJ787" t="n">
        <v>1739.42</v>
      </c>
      <c r="AK787" t="n">
        <v>1198.39</v>
      </c>
    </row>
    <row r="788">
      <c r="AJ788" t="n">
        <v>1718.4</v>
      </c>
      <c r="AK788" t="n">
        <v>1236.39</v>
      </c>
    </row>
    <row r="789">
      <c r="AJ789" t="n">
        <v>1734.79</v>
      </c>
      <c r="AK789" t="n">
        <v>1250.66</v>
      </c>
    </row>
    <row r="790">
      <c r="AJ790" t="n">
        <v>1742.1</v>
      </c>
      <c r="AK790" t="n">
        <v>1271.17</v>
      </c>
    </row>
    <row r="791">
      <c r="AJ791" t="n">
        <v>1734.51</v>
      </c>
      <c r="AK791" t="n">
        <v>1292.13</v>
      </c>
    </row>
    <row r="792">
      <c r="AJ792" t="n">
        <v>1715.9</v>
      </c>
      <c r="AK792" t="n">
        <v>1305.17</v>
      </c>
    </row>
    <row r="793">
      <c r="AJ793" t="n">
        <v>1722.34</v>
      </c>
      <c r="AK793" t="n">
        <v>1322.78</v>
      </c>
    </row>
    <row r="794">
      <c r="AJ794" t="n">
        <v>1715.69</v>
      </c>
      <c r="AK794" t="n">
        <v>1342.66</v>
      </c>
    </row>
    <row r="795">
      <c r="AJ795" t="n">
        <v>1710.81</v>
      </c>
      <c r="AK795" t="n">
        <v>1341.74</v>
      </c>
    </row>
    <row r="796">
      <c r="AJ796" t="n">
        <v>1713.53</v>
      </c>
      <c r="AK796" t="n">
        <v>1355.02</v>
      </c>
    </row>
    <row r="797">
      <c r="AJ797" t="n">
        <v>1706.01</v>
      </c>
      <c r="AK797" t="n">
        <v>1366.7</v>
      </c>
    </row>
    <row r="798">
      <c r="AJ798" t="n">
        <v>1710.65</v>
      </c>
      <c r="AK798" t="n">
        <v>1372.08</v>
      </c>
    </row>
    <row r="799">
      <c r="AJ799" t="n">
        <v>1733.62</v>
      </c>
      <c r="AK799" t="n">
        <v>1370.08</v>
      </c>
    </row>
    <row r="800">
      <c r="AJ800" t="n">
        <v>1738.88</v>
      </c>
      <c r="AK800" t="n">
        <v>1377.74</v>
      </c>
    </row>
    <row r="801">
      <c r="AJ801" t="n">
        <v>1762.34</v>
      </c>
      <c r="AK801" t="n">
        <v>1362.19</v>
      </c>
    </row>
    <row r="802">
      <c r="AJ802" t="n">
        <v>1778.42</v>
      </c>
      <c r="AK802" t="n">
        <v>1365.3</v>
      </c>
    </row>
    <row r="803">
      <c r="AJ803" t="n">
        <v>1782.76</v>
      </c>
      <c r="AK803" t="n">
        <v>1350.28</v>
      </c>
    </row>
    <row r="804">
      <c r="AJ804" t="n">
        <v>1775.2</v>
      </c>
      <c r="AK804" t="n">
        <v>1345.79</v>
      </c>
    </row>
    <row r="805">
      <c r="AJ805" t="n">
        <v>1782.39</v>
      </c>
      <c r="AK805" t="n">
        <v>1347.08</v>
      </c>
    </row>
    <row r="806">
      <c r="AJ806" t="n">
        <v>1789.89</v>
      </c>
      <c r="AK806" t="n">
        <v>1338.07</v>
      </c>
    </row>
    <row r="807">
      <c r="AJ807" t="n">
        <v>1786.36</v>
      </c>
      <c r="AK807" t="n">
        <v>1327.04</v>
      </c>
    </row>
    <row r="808">
      <c r="AJ808" t="n">
        <v>1801.1</v>
      </c>
      <c r="AK808" t="n">
        <v>1332.15</v>
      </c>
    </row>
    <row r="809">
      <c r="AJ809" t="n">
        <v>1804.83</v>
      </c>
      <c r="AK809" t="n">
        <v>1323.01</v>
      </c>
    </row>
    <row r="810">
      <c r="AJ810" t="n">
        <v>1800.6</v>
      </c>
      <c r="AK810" t="n">
        <v>1316.67</v>
      </c>
    </row>
    <row r="811">
      <c r="AJ811" t="n">
        <v>1805.62</v>
      </c>
      <c r="AK811" t="n">
        <v>1329.35</v>
      </c>
    </row>
    <row r="812">
      <c r="AJ812" t="n">
        <v>1811.58</v>
      </c>
      <c r="AK812" t="n">
        <v>1322.56</v>
      </c>
    </row>
    <row r="813">
      <c r="AJ813" t="n">
        <v>1817.28</v>
      </c>
      <c r="AK813" t="n">
        <v>1339.62</v>
      </c>
    </row>
    <row r="814">
      <c r="AJ814" t="n">
        <v>1822.53</v>
      </c>
      <c r="AK814" t="n">
        <v>1335.21</v>
      </c>
    </row>
    <row r="815">
      <c r="AJ815" t="n">
        <v>1820.58</v>
      </c>
      <c r="AK815" t="n">
        <v>1369.26</v>
      </c>
    </row>
    <row r="817">
      <c r="AJ817" t="n">
        <v>1929.55</v>
      </c>
      <c r="AK817" t="n">
        <v>1208.17</v>
      </c>
    </row>
    <row r="818">
      <c r="AJ818" t="n">
        <v>1896.26</v>
      </c>
      <c r="AK818" t="n">
        <v>1207.32</v>
      </c>
    </row>
    <row r="819">
      <c r="AJ819" t="n">
        <v>1912.14</v>
      </c>
      <c r="AK819" t="n">
        <v>1212.33</v>
      </c>
    </row>
    <row r="820">
      <c r="AJ820" t="n">
        <v>1929.55</v>
      </c>
      <c r="AK820" t="n">
        <v>1208.17</v>
      </c>
    </row>
    <row r="822">
      <c r="AJ822" t="n">
        <v>1822.9</v>
      </c>
      <c r="AK822" t="n">
        <v>1097.32</v>
      </c>
    </row>
    <row r="823">
      <c r="AJ823" t="n">
        <v>1818.35</v>
      </c>
      <c r="AK823" t="n">
        <v>1095.62</v>
      </c>
    </row>
    <row r="824">
      <c r="AJ824" t="n">
        <v>1822.22</v>
      </c>
      <c r="AK824" t="n">
        <v>1101.37</v>
      </c>
    </row>
    <row r="825">
      <c r="AJ825" t="n">
        <v>1822.9</v>
      </c>
      <c r="AK825" t="n">
        <v>1097.32</v>
      </c>
    </row>
    <row r="827">
      <c r="AJ827" t="n">
        <v>1393.78</v>
      </c>
      <c r="AK827" t="n">
        <v>1156.14</v>
      </c>
    </row>
    <row r="828">
      <c r="AJ828" t="n">
        <v>1446.93</v>
      </c>
      <c r="AK828" t="n">
        <v>1337.51</v>
      </c>
    </row>
    <row r="829">
      <c r="AJ829" t="n">
        <v>1513.08</v>
      </c>
      <c r="AK829" t="n">
        <v>1322.57</v>
      </c>
    </row>
    <row r="830">
      <c r="AJ830" t="n">
        <v>1490.23</v>
      </c>
      <c r="AK830" t="n">
        <v>1134.85</v>
      </c>
    </row>
    <row r="831">
      <c r="AJ831" t="n">
        <v>1393.78</v>
      </c>
      <c r="AK831" t="n">
        <v>1156.14</v>
      </c>
    </row>
    <row r="833">
      <c r="AJ833" t="n">
        <v>1338.9</v>
      </c>
      <c r="AK833" t="n">
        <v>1382.39</v>
      </c>
    </row>
    <row r="834">
      <c r="AJ834" t="n">
        <v>1264.99</v>
      </c>
      <c r="AK834" t="n">
        <v>1431.29</v>
      </c>
    </row>
    <row r="835">
      <c r="AJ835" t="n">
        <v>1234.16</v>
      </c>
      <c r="AK835" t="n">
        <v>1457.48</v>
      </c>
    </row>
    <row r="836">
      <c r="AJ836" t="n">
        <v>1237.99</v>
      </c>
      <c r="AK836" t="n">
        <v>1462.03</v>
      </c>
    </row>
    <row r="837">
      <c r="AJ837" t="n">
        <v>1225.63</v>
      </c>
      <c r="AK837" t="n">
        <v>1472.54</v>
      </c>
    </row>
    <row r="838">
      <c r="AJ838" t="n">
        <v>1336.19</v>
      </c>
      <c r="AK838" t="n">
        <v>1585.97</v>
      </c>
    </row>
    <row r="839">
      <c r="AJ839" t="n">
        <v>1347.87</v>
      </c>
      <c r="AK839" t="n">
        <v>1557.95</v>
      </c>
    </row>
    <row r="840">
      <c r="AJ840" t="n">
        <v>1328.68</v>
      </c>
      <c r="AK840" t="n">
        <v>1532.44</v>
      </c>
    </row>
    <row r="841">
      <c r="AJ841" t="n">
        <v>1339.48</v>
      </c>
      <c r="AK841" t="n">
        <v>1523.49</v>
      </c>
    </row>
    <row r="842">
      <c r="AJ842" t="n">
        <v>1331.19</v>
      </c>
      <c r="AK842" t="n">
        <v>1508.06</v>
      </c>
    </row>
    <row r="843">
      <c r="AJ843" t="n">
        <v>1338.23</v>
      </c>
      <c r="AK843" t="n">
        <v>1502.75</v>
      </c>
    </row>
    <row r="844">
      <c r="AJ844" t="n">
        <v>1324.96</v>
      </c>
      <c r="AK844" t="n">
        <v>1487.94</v>
      </c>
    </row>
    <row r="845">
      <c r="AJ845" t="n">
        <v>1329.79</v>
      </c>
      <c r="AK845" t="n">
        <v>1463.28</v>
      </c>
    </row>
    <row r="846">
      <c r="AJ846" t="n">
        <v>1319.71</v>
      </c>
      <c r="AK846" t="n">
        <v>1436.99</v>
      </c>
    </row>
    <row r="847">
      <c r="AJ847" t="n">
        <v>1327.42</v>
      </c>
      <c r="AK847" t="n">
        <v>1418.54</v>
      </c>
    </row>
    <row r="848">
      <c r="AJ848" t="n">
        <v>1323.55</v>
      </c>
      <c r="AK848" t="n">
        <v>1406.19</v>
      </c>
    </row>
    <row r="849">
      <c r="AJ849" t="n">
        <v>1341.19</v>
      </c>
      <c r="AK849" t="n">
        <v>1399.55</v>
      </c>
    </row>
    <row r="850">
      <c r="AJ850" t="n">
        <v>1338.9</v>
      </c>
      <c r="AK850" t="n">
        <v>1382.39</v>
      </c>
    </row>
  </sheetData>
  <conditionalFormatting sqref="A4:AJ156">
    <cfRule type="expression" priority="1" dxfId="3">
      <formula>ISNA(A4)</formula>
    </cfRule>
  </conditionalFormatting>
  <printOptions horizontalCentered="1"/>
  <pageMargins left="0.3" right="0.3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2026-11-07T21:49:31Z</dcterms:created>
  <dcterms:modified xmlns:dcterms="http://purl.org/dc/terms/" xmlns:xsi="http://www.w3.org/2001/XMLSchema-instance" xsi:type="dcterms:W3CDTF">2026-11-07T21:49:31Z</dcterms:modified>
</cp:coreProperties>
</file>